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90" windowWidth="12120" windowHeight="7170" activeTab="0"/>
  </bookViews>
  <sheets>
    <sheet name="FY 16-17" sheetId="1" r:id="rId1"/>
    <sheet name="FY 15-16" sheetId="2" r:id="rId2"/>
    <sheet name="FY 14-15" sheetId="3" r:id="rId3"/>
    <sheet name="FY 13-14" sheetId="4" r:id="rId4"/>
    <sheet name="FY 12-13" sheetId="5" r:id="rId5"/>
    <sheet name="FY 11-12" sheetId="6" r:id="rId6"/>
    <sheet name="FY 10-11" sheetId="7" r:id="rId7"/>
    <sheet name="FY 09-10" sheetId="8" r:id="rId8"/>
    <sheet name="FY 08-09" sheetId="9" r:id="rId9"/>
    <sheet name="FY 07-08" sheetId="10" r:id="rId10"/>
    <sheet name="FY 06-07" sheetId="11" r:id="rId11"/>
  </sheets>
  <definedNames>
    <definedName name="_xlnm.Print_Area" localSheetId="10">'FY 06-07'!$A$1:$K$63</definedName>
    <definedName name="_xlnm.Print_Area" localSheetId="9">'FY 07-08'!$A$1:$K$70</definedName>
    <definedName name="_xlnm.Print_Area" localSheetId="8">'FY 08-09'!$A$1:$L$75</definedName>
    <definedName name="_xlnm.Print_Area" localSheetId="7">'FY 09-10'!$A$1:$M$77</definedName>
    <definedName name="_xlnm.Print_Area" localSheetId="6">'FY 10-11'!$A$1:$M$80</definedName>
    <definedName name="_xlnm.Print_Area" localSheetId="5">'FY 11-12'!$A$1:$M$76</definedName>
    <definedName name="_xlnm.Print_Area" localSheetId="4">'FY 12-13'!$A$1:$M$76</definedName>
    <definedName name="_xlnm.Print_Area" localSheetId="3">'FY 13-14'!$A$1:$M$76</definedName>
    <definedName name="_xlnm.Print_Area" localSheetId="2">'FY 14-15'!$A$1:$M$76</definedName>
    <definedName name="_xlnm.Print_Area" localSheetId="1">'FY 15-16'!$A$1:$M$76</definedName>
    <definedName name="_xlnm.Print_Area" localSheetId="0">'FY 16-17'!$A$1:$M$76</definedName>
  </definedNames>
  <calcPr fullCalcOnLoad="1"/>
</workbook>
</file>

<file path=xl/sharedStrings.xml><?xml version="1.0" encoding="utf-8"?>
<sst xmlns="http://schemas.openxmlformats.org/spreadsheetml/2006/main" count="863" uniqueCount="98">
  <si>
    <t>2384 West River Rd</t>
  </si>
  <si>
    <t>Nichols, NY 13812</t>
  </si>
  <si>
    <t>www.tiogadowns.com</t>
  </si>
  <si>
    <t>(888) 946-8464</t>
  </si>
  <si>
    <t>Distribution of Net Win:</t>
  </si>
  <si>
    <t>Credits</t>
  </si>
  <si>
    <t>Avg Daily</t>
  </si>
  <si>
    <t>Win/VGM</t>
  </si>
  <si>
    <t>Education</t>
  </si>
  <si>
    <t>Marketing</t>
  </si>
  <si>
    <t>Month</t>
  </si>
  <si>
    <t>Played</t>
  </si>
  <si>
    <t>Won</t>
  </si>
  <si>
    <t>Net Win</t>
  </si>
  <si>
    <t>VGM's</t>
  </si>
  <si>
    <t>per Day</t>
  </si>
  <si>
    <t>Contribution</t>
  </si>
  <si>
    <t>Commission</t>
  </si>
  <si>
    <t>Allowance</t>
  </si>
  <si>
    <t>Total</t>
  </si>
  <si>
    <t>Definition of Terms</t>
  </si>
  <si>
    <t>Credits Played:</t>
  </si>
  <si>
    <t>Credits Won:</t>
  </si>
  <si>
    <t>The amount of onscreen credits won on a VGM.  Also includes any progressive jackpot liability due to players.</t>
  </si>
  <si>
    <t>Net Win:</t>
  </si>
  <si>
    <t xml:space="preserve">The net revenues remaining after payout of prizes to players. (Credits Played less Credits Won)  Net win is </t>
  </si>
  <si>
    <t>commonly referred to as "Hold" or "Net Machine Income".</t>
  </si>
  <si>
    <t>Education Contribution:</t>
  </si>
  <si>
    <t>The portion of Net Win allocated to the State Education Fund for direct aid to education.</t>
  </si>
  <si>
    <t>Marketing Allowance:</t>
  </si>
  <si>
    <t>Distribution of Net Win per Legislation</t>
  </si>
  <si>
    <t>First $50 million net win annually</t>
  </si>
  <si>
    <t>$50 - $100 million net win</t>
  </si>
  <si>
    <t>$100 - $150 million net win</t>
  </si>
  <si>
    <t>Over $150 million net win</t>
  </si>
  <si>
    <t xml:space="preserve"> </t>
  </si>
  <si>
    <t>Source:  New York Lottery</t>
  </si>
  <si>
    <t>Aid to Municipalities with Video Lottery Gaming Facilities Program</t>
  </si>
  <si>
    <t>Town of Nichols</t>
  </si>
  <si>
    <t>Tioga County</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</si>
  <si>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2007 host municipalities of the Tioga Downs Gaming facility received the following aid payments: </t>
  </si>
  <si>
    <t>Fiscal Year 2008/2009</t>
  </si>
  <si>
    <t>Capital</t>
  </si>
  <si>
    <t>Award</t>
  </si>
  <si>
    <t>Capital Award:</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</si>
  <si>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2008 host municipalities of the Tioga Downs Gaming facility received the following aid payments: </t>
  </si>
  <si>
    <t>$50 - $62.5 million net win</t>
  </si>
  <si>
    <t>$62.5 - $100 million net win</t>
  </si>
  <si>
    <t>Tioga Downs Casino</t>
  </si>
  <si>
    <t>Fiscal Year 2009/2010</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</si>
  <si>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2009 host municipalities of the Tioga Downs Gaming facility received the following aid payments: </t>
  </si>
  <si>
    <t>The amount of promotional free play included in Credits Played that is subsidized by the State through a reduction to Net Win.</t>
  </si>
  <si>
    <t>The net revenues remaining after payout of prizes to players. (Credits Played less Credits Won)  Net win is commonly</t>
  </si>
  <si>
    <t>referred to as "Hold" or "Net Machine Income".</t>
  </si>
  <si>
    <t>The portion of Net Win allocated to the operators of the gaming facility that is restricted for capital project investments</t>
  </si>
  <si>
    <t>which improve the facilities and promote or encourage increased attendance at the video gaming facility. The Capital Award</t>
  </si>
  <si>
    <t>is subject to an annual cap of $2.5 million.</t>
  </si>
  <si>
    <t>Free Play</t>
  </si>
  <si>
    <t>Fiscal Year 2006/2007</t>
  </si>
  <si>
    <t>Fiscal Year 2007/2008</t>
  </si>
  <si>
    <t>Fiscal Year 2010/2011</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</si>
  <si>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2010 host municipalities of the Tioga Downs Gaming facility received the following aid payments: </t>
  </si>
  <si>
    <t xml:space="preserve">                Note: The percentages above reflect revised legislation that went into effect August 11, 2010. This legislation lowered Racetrack Commissions</t>
  </si>
  <si>
    <t xml:space="preserve">                and increased Education Contribution by 1%.</t>
  </si>
  <si>
    <t>Fiscal Year 2011/2012</t>
  </si>
  <si>
    <t>Agent Commission:</t>
  </si>
  <si>
    <t xml:space="preserve">The portion of the Net Win paid to the casino operator to finance the costs of advertising, marketing and promoting </t>
  </si>
  <si>
    <t>video lottery play at the casino.</t>
  </si>
  <si>
    <t>The portion of Net Win paid to the casino operator as compensation for operating the gaming facility. Most operating expenses</t>
  </si>
  <si>
    <t>Gaming Floor &amp; Admin</t>
  </si>
  <si>
    <t xml:space="preserve">The portion of Net Win used to reimburse gaming floor vendors (central system and game machine providers) and </t>
  </si>
  <si>
    <t>administer the Video Gaming Program (sometimes labeled "Lottery Administration").</t>
  </si>
  <si>
    <t>Agent</t>
  </si>
  <si>
    <t>Gaming Floor</t>
  </si>
  <si>
    <t>&amp; Admin</t>
  </si>
  <si>
    <t xml:space="preserve">of the gaming facility are paid from the agent commission (including the horse racing subsidies), with the exception of the </t>
  </si>
  <si>
    <t xml:space="preserve">gaming floor itself, which is provided by the other vendors and paid for by the Lottery. </t>
  </si>
  <si>
    <t>Gaming Floor &amp; Admin:</t>
  </si>
  <si>
    <t>Agent Commission</t>
  </si>
  <si>
    <t>Operator</t>
  </si>
  <si>
    <t>Purses</t>
  </si>
  <si>
    <t>Breeders</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</si>
  <si>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2011 host municipalities of the Tioga Downs Casino facility received the following aid payments: </t>
  </si>
  <si>
    <t>Fiscal Year 2012/2013</t>
  </si>
  <si>
    <t>from; (a) cash and vouchers inserted into a VGM, and (b) any Credits Won used to make a wager on a VGM.</t>
  </si>
  <si>
    <t>The amount of onscreen credits wagered on a video gaming machine (VGM).  This amount includes Credits Played resulting</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</si>
  <si>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2012 host municipalities of the Tioga Downs Casino facility received the following aid payments: </t>
  </si>
  <si>
    <t>Free Play Allowance:</t>
  </si>
  <si>
    <t>Source:  New York State Gaming Commission</t>
  </si>
  <si>
    <t>Fiscal Year 2013/2014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</si>
  <si>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2013-2014 host municipalities of the Tioga Downs Casino facility were scheduled to receive the following aid payments: </t>
  </si>
  <si>
    <t>The amount of onscreen credits won on a VGM (prize payout).  Also includes any progressive jackpot liability due to players.</t>
  </si>
  <si>
    <t>Fiscal Year 2014/2015</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</si>
  <si>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2014-2015 host municipalities of the Tioga Downs Casino facility were scheduled to receive the following aid payments: </t>
  </si>
  <si>
    <t>Fiscal Year 2015/2016</t>
  </si>
  <si>
    <t>Fiscal Year 2016/2017</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</si>
  <si>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2015-2016 host municipalities of the Tioga Downs Casino facility were scheduled to receive the following aid payments: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</si>
  <si>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2016-2017 host municipalities of the Tioga Downs Casino facility were scheduled to receive the following aid payments: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</si>
</sst>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quot;#,##0.0_);[Red]\(&quot;$&quot;#,##0.0\)"/>
    <numFmt numFmtId="167" formatCode="[$-409]h:mm:ss\ AM/PM"/>
    <numFmt numFmtId="168" formatCode="0.00%;[Red]\(0.00%\)"/>
    <numFmt numFmtId="169" formatCode="m/d/yy;@"/>
    <numFmt numFmtId="170" formatCode="[Red]0.00%\)\(0.00%\)"/>
    <numFmt numFmtId="171" formatCode="0.00%_);[Red]\(0.00%\)"/>
    <numFmt numFmtId="172" formatCode="&quot;$&quot;#,##0"/>
  </numFmts>
  <fonts count="47">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4"/>
      <name val="Arial"/>
      <family val="2"/>
    </font>
    <font>
      <sz val="12"/>
      <name val="Arial"/>
      <family val="2"/>
    </font>
    <font>
      <u val="single"/>
      <sz val="11"/>
      <color indexed="12"/>
      <name val="Arial"/>
      <family val="2"/>
    </font>
    <font>
      <sz val="11"/>
      <name val="Arial"/>
      <family val="2"/>
    </font>
    <font>
      <b/>
      <sz val="10"/>
      <name val="Arial"/>
      <family val="2"/>
    </font>
    <font>
      <b/>
      <sz val="9"/>
      <name val="Arial"/>
      <family val="2"/>
    </font>
    <font>
      <sz val="9"/>
      <name val="Arial"/>
      <family val="2"/>
    </font>
    <font>
      <b/>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1" fillId="0" borderId="0">
      <alignment vertical="top"/>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6" fontId="8" fillId="0" borderId="0" xfId="0" applyNumberFormat="1" applyFont="1" applyAlignment="1">
      <alignment horizontal="center"/>
    </xf>
    <xf numFmtId="165"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0" fillId="0" borderId="0" xfId="0" applyFont="1" applyAlignment="1">
      <alignment horizontal="center"/>
    </xf>
    <xf numFmtId="6" fontId="10" fillId="0" borderId="10" xfId="0" applyNumberFormat="1" applyFont="1" applyBorder="1" applyAlignment="1">
      <alignment horizontal="center"/>
    </xf>
    <xf numFmtId="165" fontId="10" fillId="0" borderId="0" xfId="0" applyNumberFormat="1" applyFont="1" applyAlignment="1">
      <alignment horizontal="center"/>
    </xf>
    <xf numFmtId="6" fontId="10" fillId="0" borderId="0" xfId="0" applyNumberFormat="1" applyFont="1" applyAlignment="1">
      <alignment horizontal="center"/>
    </xf>
    <xf numFmtId="38" fontId="10" fillId="0" borderId="0" xfId="0" applyNumberFormat="1" applyFont="1" applyAlignment="1">
      <alignment horizontal="center"/>
    </xf>
    <xf numFmtId="0" fontId="10" fillId="0" borderId="0" xfId="0" applyFont="1" applyAlignment="1">
      <alignment horizontal="center"/>
    </xf>
    <xf numFmtId="165" fontId="10" fillId="0" borderId="10" xfId="0" applyNumberFormat="1" applyFont="1" applyBorder="1" applyAlignment="1">
      <alignment horizontal="center"/>
    </xf>
    <xf numFmtId="38" fontId="10" fillId="0" borderId="10" xfId="0" applyNumberFormat="1" applyFont="1" applyBorder="1" applyAlignment="1">
      <alignment horizontal="center"/>
    </xf>
    <xf numFmtId="6" fontId="10" fillId="0" borderId="0" xfId="0" applyNumberFormat="1" applyFont="1" applyBorder="1" applyAlignment="1">
      <alignment horizontal="center"/>
    </xf>
    <xf numFmtId="6" fontId="0" fillId="0" borderId="0" xfId="0" applyNumberFormat="1" applyAlignment="1">
      <alignment/>
    </xf>
    <xf numFmtId="38" fontId="0" fillId="0" borderId="0" xfId="0" applyNumberFormat="1" applyAlignment="1">
      <alignment/>
    </xf>
    <xf numFmtId="6" fontId="0" fillId="0" borderId="11" xfId="0" applyNumberFormat="1" applyBorder="1" applyAlignment="1">
      <alignment/>
    </xf>
    <xf numFmtId="6" fontId="0" fillId="0" borderId="0" xfId="0" applyNumberFormat="1" applyBorder="1" applyAlignment="1">
      <alignment/>
    </xf>
    <xf numFmtId="171" fontId="0" fillId="0" borderId="0" xfId="0" applyNumberFormat="1" applyAlignment="1">
      <alignment horizontal="center"/>
    </xf>
    <xf numFmtId="171" fontId="0" fillId="0" borderId="0" xfId="0" applyNumberFormat="1" applyBorder="1" applyAlignment="1">
      <alignment/>
    </xf>
    <xf numFmtId="171" fontId="0" fillId="0" borderId="0" xfId="0" applyNumberFormat="1" applyAlignment="1">
      <alignment/>
    </xf>
    <xf numFmtId="0" fontId="0" fillId="0" borderId="0" xfId="0" applyFont="1" applyAlignment="1">
      <alignment/>
    </xf>
    <xf numFmtId="165" fontId="0" fillId="0" borderId="0" xfId="0" applyNumberFormat="1" applyAlignment="1">
      <alignment horizontal="left"/>
    </xf>
    <xf numFmtId="165" fontId="9" fillId="0" borderId="0" xfId="0" applyNumberFormat="1" applyFont="1" applyAlignment="1">
      <alignment horizontal="left"/>
    </xf>
    <xf numFmtId="6" fontId="0" fillId="0" borderId="0" xfId="0" applyNumberFormat="1" applyFont="1" applyAlignment="1">
      <alignment/>
    </xf>
    <xf numFmtId="38" fontId="0" fillId="0" borderId="0" xfId="0" applyNumberFormat="1" applyFont="1" applyAlignment="1">
      <alignment/>
    </xf>
    <xf numFmtId="165" fontId="0" fillId="0" borderId="0" xfId="0" applyNumberFormat="1" applyFont="1" applyAlignment="1">
      <alignment horizontal="left"/>
    </xf>
    <xf numFmtId="165" fontId="11" fillId="0" borderId="0" xfId="0" applyNumberFormat="1" applyFont="1" applyAlignment="1">
      <alignment horizontal="left"/>
    </xf>
    <xf numFmtId="6" fontId="11" fillId="0" borderId="0" xfId="0" applyNumberFormat="1" applyFont="1" applyAlignment="1">
      <alignment/>
    </xf>
    <xf numFmtId="38" fontId="11" fillId="0" borderId="0" xfId="0" applyNumberFormat="1" applyFont="1" applyAlignment="1">
      <alignment/>
    </xf>
    <xf numFmtId="0" fontId="12" fillId="0" borderId="0" xfId="0" applyFont="1" applyAlignment="1">
      <alignment/>
    </xf>
    <xf numFmtId="6" fontId="9" fillId="0" borderId="0" xfId="0" applyNumberFormat="1" applyFont="1" applyAlignment="1">
      <alignment/>
    </xf>
    <xf numFmtId="6" fontId="11" fillId="0" borderId="0" xfId="0" applyNumberFormat="1" applyFont="1" applyBorder="1" applyAlignment="1">
      <alignment horizontal="center"/>
    </xf>
    <xf numFmtId="0" fontId="11" fillId="0" borderId="0" xfId="0" applyFont="1" applyAlignment="1">
      <alignment/>
    </xf>
    <xf numFmtId="6" fontId="9" fillId="0" borderId="10" xfId="0" applyNumberFormat="1" applyFont="1" applyBorder="1" applyAlignment="1">
      <alignment/>
    </xf>
    <xf numFmtId="0" fontId="0" fillId="0" borderId="0" xfId="0" applyFont="1" applyAlignment="1">
      <alignment horizontal="left" vertical="top"/>
    </xf>
    <xf numFmtId="9" fontId="0" fillId="0" borderId="0" xfId="0" applyNumberFormat="1" applyFont="1" applyAlignment="1">
      <alignment horizontal="center"/>
    </xf>
    <xf numFmtId="9" fontId="11" fillId="0" borderId="0" xfId="0" applyNumberFormat="1" applyFont="1" applyBorder="1" applyAlignment="1">
      <alignment horizontal="center"/>
    </xf>
    <xf numFmtId="6" fontId="5" fillId="0" borderId="0" xfId="0" applyNumberFormat="1" applyFont="1" applyAlignment="1">
      <alignment/>
    </xf>
    <xf numFmtId="165" fontId="9" fillId="0" borderId="0" xfId="60" applyNumberFormat="1" applyFont="1" applyAlignment="1">
      <alignment horizontal="left"/>
      <protection/>
    </xf>
    <xf numFmtId="6" fontId="0" fillId="0" borderId="0" xfId="60" applyNumberFormat="1" applyFont="1">
      <alignment vertical="top"/>
      <protection/>
    </xf>
    <xf numFmtId="6" fontId="0" fillId="0" borderId="0" xfId="60" applyNumberFormat="1" applyFont="1" applyAlignment="1">
      <alignment/>
      <protection/>
    </xf>
    <xf numFmtId="6" fontId="0" fillId="0" borderId="0" xfId="60" applyNumberFormat="1" applyFont="1" applyAlignment="1">
      <alignment wrapText="1"/>
      <protection/>
    </xf>
    <xf numFmtId="0" fontId="1" fillId="0" borderId="0" xfId="60">
      <alignment vertical="top"/>
      <protection/>
    </xf>
    <xf numFmtId="6" fontId="1" fillId="0" borderId="0" xfId="60" applyNumberFormat="1">
      <alignment vertical="top"/>
      <protection/>
    </xf>
    <xf numFmtId="38" fontId="0" fillId="0" borderId="0" xfId="60" applyNumberFormat="1" applyFont="1">
      <alignment vertical="top"/>
      <protection/>
    </xf>
    <xf numFmtId="165" fontId="0" fillId="0" borderId="0" xfId="60" applyNumberFormat="1" applyFont="1" applyAlignment="1">
      <alignment horizontal="left"/>
      <protection/>
    </xf>
    <xf numFmtId="165" fontId="11" fillId="0" borderId="0" xfId="60" applyNumberFormat="1" applyFont="1" applyAlignment="1">
      <alignment horizontal="left"/>
      <protection/>
    </xf>
    <xf numFmtId="6" fontId="11" fillId="0" borderId="0" xfId="60" applyNumberFormat="1" applyFont="1">
      <alignment vertical="top"/>
      <protection/>
    </xf>
    <xf numFmtId="38" fontId="11" fillId="0" borderId="0" xfId="60" applyNumberFormat="1" applyFont="1">
      <alignment vertical="top"/>
      <protection/>
    </xf>
    <xf numFmtId="165" fontId="0" fillId="0" borderId="0" xfId="0" applyNumberFormat="1" applyAlignment="1">
      <alignment/>
    </xf>
    <xf numFmtId="6" fontId="10" fillId="0" borderId="0" xfId="60" applyNumberFormat="1" applyFont="1" applyAlignment="1">
      <alignment horizontal="center"/>
      <protection/>
    </xf>
    <xf numFmtId="6" fontId="10" fillId="0" borderId="10" xfId="60" applyNumberFormat="1" applyFont="1" applyBorder="1" applyAlignment="1">
      <alignment horizontal="center"/>
      <protection/>
    </xf>
    <xf numFmtId="10" fontId="0" fillId="0" borderId="0" xfId="0" applyNumberFormat="1" applyFont="1" applyAlignment="1">
      <alignment horizontal="center"/>
    </xf>
    <xf numFmtId="10" fontId="0" fillId="0" borderId="0" xfId="0" applyNumberFormat="1" applyAlignment="1">
      <alignment/>
    </xf>
    <xf numFmtId="6" fontId="0" fillId="0" borderId="10" xfId="0" applyNumberFormat="1" applyBorder="1" applyAlignment="1">
      <alignment/>
    </xf>
    <xf numFmtId="6" fontId="10" fillId="0" borderId="10" xfId="0" applyNumberFormat="1" applyFont="1" applyBorder="1" applyAlignment="1">
      <alignment horizontal="right"/>
    </xf>
    <xf numFmtId="10" fontId="0" fillId="0" borderId="0" xfId="0" applyNumberFormat="1" applyFont="1" applyAlignment="1">
      <alignment horizontal="right"/>
    </xf>
    <xf numFmtId="6" fontId="5" fillId="0" borderId="0" xfId="0" applyNumberFormat="1" applyFont="1" applyAlignment="1">
      <alignment horizontal="center"/>
    </xf>
    <xf numFmtId="6" fontId="6" fillId="0" borderId="0" xfId="0" applyNumberFormat="1" applyFont="1" applyAlignment="1">
      <alignment horizontal="center"/>
    </xf>
    <xf numFmtId="6" fontId="7" fillId="0" borderId="0" xfId="53" applyNumberFormat="1" applyFont="1" applyAlignment="1" applyProtection="1">
      <alignment horizontal="center"/>
      <protection/>
    </xf>
    <xf numFmtId="6" fontId="8" fillId="0" borderId="0" xfId="0" applyNumberFormat="1" applyFont="1" applyAlignment="1">
      <alignment horizontal="center"/>
    </xf>
    <xf numFmtId="165" fontId="9" fillId="33" borderId="12" xfId="0" applyNumberFormat="1" applyFont="1" applyFill="1" applyBorder="1" applyAlignment="1">
      <alignment horizontal="center"/>
    </xf>
    <xf numFmtId="165" fontId="9" fillId="33" borderId="13" xfId="0" applyNumberFormat="1" applyFont="1" applyFill="1" applyBorder="1" applyAlignment="1">
      <alignment horizontal="center"/>
    </xf>
    <xf numFmtId="165" fontId="9" fillId="33" borderId="14" xfId="0" applyNumberFormat="1" applyFont="1" applyFill="1" applyBorder="1" applyAlignment="1">
      <alignment horizontal="center"/>
    </xf>
    <xf numFmtId="6" fontId="10" fillId="0" borderId="10" xfId="0" applyNumberFormat="1" applyFont="1" applyBorder="1" applyAlignment="1">
      <alignment horizontal="center"/>
    </xf>
    <xf numFmtId="6" fontId="9" fillId="33" borderId="12" xfId="0" applyNumberFormat="1" applyFont="1" applyFill="1" applyBorder="1" applyAlignment="1">
      <alignment horizontal="center"/>
    </xf>
    <xf numFmtId="6" fontId="9" fillId="33" borderId="13" xfId="0" applyNumberFormat="1" applyFont="1" applyFill="1" applyBorder="1" applyAlignment="1">
      <alignment horizontal="center"/>
    </xf>
    <xf numFmtId="6" fontId="9" fillId="33" borderId="14" xfId="0" applyNumberFormat="1" applyFont="1" applyFill="1" applyBorder="1" applyAlignment="1">
      <alignment horizontal="center"/>
    </xf>
    <xf numFmtId="0" fontId="0" fillId="0" borderId="0" xfId="60" applyNumberFormat="1" applyFont="1" applyBorder="1" applyAlignment="1">
      <alignment horizontal="left" wrapText="1"/>
      <protection/>
    </xf>
    <xf numFmtId="0" fontId="0" fillId="0" borderId="0" xfId="60" applyNumberFormat="1" applyFont="1" applyBorder="1" applyAlignment="1">
      <alignment horizontal="left" wrapText="1"/>
      <protection/>
    </xf>
    <xf numFmtId="0" fontId="0" fillId="0" borderId="0" xfId="60" applyNumberFormat="1" applyFont="1" applyAlignment="1">
      <alignment horizontal="left" wrapText="1"/>
      <protection/>
    </xf>
    <xf numFmtId="165" fontId="9" fillId="0" borderId="0" xfId="0" applyNumberFormat="1" applyFont="1" applyAlignment="1">
      <alignment horizontal="center"/>
    </xf>
    <xf numFmtId="6" fontId="9" fillId="0" borderId="11" xfId="0" applyNumberFormat="1" applyFont="1" applyBorder="1" applyAlignment="1">
      <alignment/>
    </xf>
    <xf numFmtId="38" fontId="9" fillId="0" borderId="11"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38100</xdr:rowOff>
    </xdr:from>
    <xdr:to>
      <xdr:col>2</xdr:col>
      <xdr:colOff>371475</xdr:colOff>
      <xdr:row>5</xdr:row>
      <xdr:rowOff>19050</xdr:rowOff>
    </xdr:to>
    <xdr:pic>
      <xdr:nvPicPr>
        <xdr:cNvPr id="1" name="Picture 1" descr="TiogaDownsLogo"/>
        <xdr:cNvPicPr preferRelativeResize="1">
          <a:picLocks noChangeAspect="1"/>
        </xdr:cNvPicPr>
      </xdr:nvPicPr>
      <xdr:blipFill>
        <a:blip r:embed="rId1"/>
        <a:stretch>
          <a:fillRect/>
        </a:stretch>
      </xdr:blipFill>
      <xdr:spPr>
        <a:xfrm>
          <a:off x="171450" y="38100"/>
          <a:ext cx="1762125"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161925</xdr:rowOff>
    </xdr:from>
    <xdr:to>
      <xdr:col>2</xdr:col>
      <xdr:colOff>47625</xdr:colOff>
      <xdr:row>5</xdr:row>
      <xdr:rowOff>142875</xdr:rowOff>
    </xdr:to>
    <xdr:pic>
      <xdr:nvPicPr>
        <xdr:cNvPr id="1" name="Picture 2" descr="TiogaDownsLogo"/>
        <xdr:cNvPicPr preferRelativeResize="1">
          <a:picLocks noChangeAspect="1"/>
        </xdr:cNvPicPr>
      </xdr:nvPicPr>
      <xdr:blipFill>
        <a:blip r:embed="rId1"/>
        <a:stretch>
          <a:fillRect/>
        </a:stretch>
      </xdr:blipFill>
      <xdr:spPr>
        <a:xfrm>
          <a:off x="152400" y="161925"/>
          <a:ext cx="1457325"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2</xdr:col>
      <xdr:colOff>0</xdr:colOff>
      <xdr:row>5</xdr:row>
      <xdr:rowOff>114300</xdr:rowOff>
    </xdr:to>
    <xdr:pic>
      <xdr:nvPicPr>
        <xdr:cNvPr id="1" name="Picture 2" descr="TiogaDownsLogo"/>
        <xdr:cNvPicPr preferRelativeResize="1">
          <a:picLocks noChangeAspect="1"/>
        </xdr:cNvPicPr>
      </xdr:nvPicPr>
      <xdr:blipFill>
        <a:blip r:embed="rId1"/>
        <a:stretch>
          <a:fillRect/>
        </a:stretch>
      </xdr:blipFill>
      <xdr:spPr>
        <a:xfrm>
          <a:off x="104775" y="133350"/>
          <a:ext cx="15144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38100</xdr:rowOff>
    </xdr:from>
    <xdr:to>
      <xdr:col>2</xdr:col>
      <xdr:colOff>371475</xdr:colOff>
      <xdr:row>5</xdr:row>
      <xdr:rowOff>19050</xdr:rowOff>
    </xdr:to>
    <xdr:pic>
      <xdr:nvPicPr>
        <xdr:cNvPr id="1" name="Picture 1" descr="TiogaDownsLogo"/>
        <xdr:cNvPicPr preferRelativeResize="1">
          <a:picLocks noChangeAspect="1"/>
        </xdr:cNvPicPr>
      </xdr:nvPicPr>
      <xdr:blipFill>
        <a:blip r:embed="rId1"/>
        <a:stretch>
          <a:fillRect/>
        </a:stretch>
      </xdr:blipFill>
      <xdr:spPr>
        <a:xfrm>
          <a:off x="171450" y="38100"/>
          <a:ext cx="176212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38100</xdr:rowOff>
    </xdr:from>
    <xdr:to>
      <xdr:col>2</xdr:col>
      <xdr:colOff>371475</xdr:colOff>
      <xdr:row>5</xdr:row>
      <xdr:rowOff>19050</xdr:rowOff>
    </xdr:to>
    <xdr:pic>
      <xdr:nvPicPr>
        <xdr:cNvPr id="1" name="Picture 1" descr="TiogaDownsLogo"/>
        <xdr:cNvPicPr preferRelativeResize="1">
          <a:picLocks noChangeAspect="1"/>
        </xdr:cNvPicPr>
      </xdr:nvPicPr>
      <xdr:blipFill>
        <a:blip r:embed="rId1"/>
        <a:stretch>
          <a:fillRect/>
        </a:stretch>
      </xdr:blipFill>
      <xdr:spPr>
        <a:xfrm>
          <a:off x="171450" y="38100"/>
          <a:ext cx="176212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38100</xdr:rowOff>
    </xdr:from>
    <xdr:to>
      <xdr:col>2</xdr:col>
      <xdr:colOff>371475</xdr:colOff>
      <xdr:row>5</xdr:row>
      <xdr:rowOff>19050</xdr:rowOff>
    </xdr:to>
    <xdr:pic>
      <xdr:nvPicPr>
        <xdr:cNvPr id="1" name="Picture 1" descr="TiogaDownsLogo"/>
        <xdr:cNvPicPr preferRelativeResize="1">
          <a:picLocks noChangeAspect="1"/>
        </xdr:cNvPicPr>
      </xdr:nvPicPr>
      <xdr:blipFill>
        <a:blip r:embed="rId1"/>
        <a:stretch>
          <a:fillRect/>
        </a:stretch>
      </xdr:blipFill>
      <xdr:spPr>
        <a:xfrm>
          <a:off x="171450" y="38100"/>
          <a:ext cx="17621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38100</xdr:rowOff>
    </xdr:from>
    <xdr:to>
      <xdr:col>2</xdr:col>
      <xdr:colOff>371475</xdr:colOff>
      <xdr:row>5</xdr:row>
      <xdr:rowOff>19050</xdr:rowOff>
    </xdr:to>
    <xdr:pic>
      <xdr:nvPicPr>
        <xdr:cNvPr id="1" name="Picture 1" descr="TiogaDownsLogo"/>
        <xdr:cNvPicPr preferRelativeResize="1">
          <a:picLocks noChangeAspect="1"/>
        </xdr:cNvPicPr>
      </xdr:nvPicPr>
      <xdr:blipFill>
        <a:blip r:embed="rId1"/>
        <a:stretch>
          <a:fillRect/>
        </a:stretch>
      </xdr:blipFill>
      <xdr:spPr>
        <a:xfrm>
          <a:off x="171450" y="38100"/>
          <a:ext cx="176212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38100</xdr:rowOff>
    </xdr:from>
    <xdr:to>
      <xdr:col>2</xdr:col>
      <xdr:colOff>371475</xdr:colOff>
      <xdr:row>5</xdr:row>
      <xdr:rowOff>19050</xdr:rowOff>
    </xdr:to>
    <xdr:pic>
      <xdr:nvPicPr>
        <xdr:cNvPr id="1" name="Picture 1" descr="TiogaDownsLogo"/>
        <xdr:cNvPicPr preferRelativeResize="1">
          <a:picLocks noChangeAspect="1"/>
        </xdr:cNvPicPr>
      </xdr:nvPicPr>
      <xdr:blipFill>
        <a:blip r:embed="rId1"/>
        <a:stretch>
          <a:fillRect/>
        </a:stretch>
      </xdr:blipFill>
      <xdr:spPr>
        <a:xfrm>
          <a:off x="171450" y="38100"/>
          <a:ext cx="176212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2</xdr:col>
      <xdr:colOff>466725</xdr:colOff>
      <xdr:row>5</xdr:row>
      <xdr:rowOff>66675</xdr:rowOff>
    </xdr:to>
    <xdr:pic>
      <xdr:nvPicPr>
        <xdr:cNvPr id="1" name="Picture 1" descr="TiogaDownsLogo"/>
        <xdr:cNvPicPr preferRelativeResize="1">
          <a:picLocks noChangeAspect="1"/>
        </xdr:cNvPicPr>
      </xdr:nvPicPr>
      <xdr:blipFill>
        <a:blip r:embed="rId1"/>
        <a:stretch>
          <a:fillRect/>
        </a:stretch>
      </xdr:blipFill>
      <xdr:spPr>
        <a:xfrm>
          <a:off x="219075" y="85725"/>
          <a:ext cx="1809750"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28575</xdr:rowOff>
    </xdr:from>
    <xdr:to>
      <xdr:col>2</xdr:col>
      <xdr:colOff>390525</xdr:colOff>
      <xdr:row>5</xdr:row>
      <xdr:rowOff>9525</xdr:rowOff>
    </xdr:to>
    <xdr:pic>
      <xdr:nvPicPr>
        <xdr:cNvPr id="1" name="Picture 1" descr="TiogaDownsLogo"/>
        <xdr:cNvPicPr preferRelativeResize="1">
          <a:picLocks noChangeAspect="1"/>
        </xdr:cNvPicPr>
      </xdr:nvPicPr>
      <xdr:blipFill>
        <a:blip r:embed="rId1"/>
        <a:stretch>
          <a:fillRect/>
        </a:stretch>
      </xdr:blipFill>
      <xdr:spPr>
        <a:xfrm>
          <a:off x="190500" y="28575"/>
          <a:ext cx="1762125"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47625</xdr:rowOff>
    </xdr:from>
    <xdr:to>
      <xdr:col>2</xdr:col>
      <xdr:colOff>142875</xdr:colOff>
      <xdr:row>5</xdr:row>
      <xdr:rowOff>28575</xdr:rowOff>
    </xdr:to>
    <xdr:pic>
      <xdr:nvPicPr>
        <xdr:cNvPr id="1" name="Picture 2" descr="TiogaDownsLogo"/>
        <xdr:cNvPicPr preferRelativeResize="1">
          <a:picLocks noChangeAspect="1"/>
        </xdr:cNvPicPr>
      </xdr:nvPicPr>
      <xdr:blipFill>
        <a:blip r:embed="rId1"/>
        <a:stretch>
          <a:fillRect/>
        </a:stretch>
      </xdr:blipFill>
      <xdr:spPr>
        <a:xfrm>
          <a:off x="247650" y="47625"/>
          <a:ext cx="14573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iogadowns.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zoomScalePageLayoutView="0" workbookViewId="0" topLeftCell="A1">
      <selection activeCell="F28" sqref="F28"/>
    </sheetView>
  </sheetViews>
  <sheetFormatPr defaultColWidth="9.140625" defaultRowHeight="12.75"/>
  <cols>
    <col min="1" max="1" width="9.28125" style="3" customWidth="1"/>
    <col min="2" max="2" width="14.140625" style="16" customWidth="1"/>
    <col min="3" max="3" width="11.00390625" style="16" customWidth="1"/>
    <col min="4" max="4" width="13.57421875" style="16" customWidth="1"/>
    <col min="5" max="5" width="11.7109375" style="16" bestFit="1" customWidth="1"/>
    <col min="6" max="6" width="8.140625" style="17" customWidth="1"/>
    <col min="7" max="7" width="9.00390625" style="16" customWidth="1"/>
    <col min="8" max="8" width="1.421875" style="16" customWidth="1"/>
    <col min="9" max="9" width="12.00390625" style="16" customWidth="1"/>
    <col min="10" max="10" width="12.140625" style="16" customWidth="1"/>
    <col min="11" max="12" width="12.8515625" style="16" bestFit="1" customWidth="1"/>
    <col min="13" max="13" width="11.00390625" style="16" customWidth="1"/>
    <col min="14" max="14" width="12.7109375" style="0" customWidth="1"/>
  </cols>
  <sheetData>
    <row r="1" spans="1:13" ht="18">
      <c r="A1" s="60" t="s">
        <v>48</v>
      </c>
      <c r="B1" s="60"/>
      <c r="C1" s="60"/>
      <c r="D1" s="60"/>
      <c r="E1" s="60"/>
      <c r="F1" s="60"/>
      <c r="G1" s="60"/>
      <c r="H1" s="60"/>
      <c r="I1" s="60"/>
      <c r="J1" s="60"/>
      <c r="K1" s="60"/>
      <c r="L1" s="60"/>
      <c r="M1" s="60"/>
    </row>
    <row r="2" spans="1:13" ht="15">
      <c r="A2" s="61" t="s">
        <v>0</v>
      </c>
      <c r="B2" s="61"/>
      <c r="C2" s="61"/>
      <c r="D2" s="61"/>
      <c r="E2" s="61"/>
      <c r="F2" s="61"/>
      <c r="G2" s="61"/>
      <c r="H2" s="61"/>
      <c r="I2" s="61"/>
      <c r="J2" s="61"/>
      <c r="K2" s="61"/>
      <c r="L2" s="61"/>
      <c r="M2" s="61"/>
    </row>
    <row r="3" spans="1:13" s="1" customFormat="1" ht="15">
      <c r="A3" s="61" t="s">
        <v>1</v>
      </c>
      <c r="B3" s="61"/>
      <c r="C3" s="61"/>
      <c r="D3" s="61"/>
      <c r="E3" s="61"/>
      <c r="F3" s="61"/>
      <c r="G3" s="61"/>
      <c r="H3" s="61"/>
      <c r="I3" s="61"/>
      <c r="J3" s="61"/>
      <c r="K3" s="61"/>
      <c r="L3" s="61"/>
      <c r="M3" s="61"/>
    </row>
    <row r="4" spans="1:13" s="1" customFormat="1" ht="14.25" customHeight="1">
      <c r="A4" s="62" t="s">
        <v>2</v>
      </c>
      <c r="B4" s="62"/>
      <c r="C4" s="62"/>
      <c r="D4" s="62"/>
      <c r="E4" s="62"/>
      <c r="F4" s="62"/>
      <c r="G4" s="62"/>
      <c r="H4" s="62"/>
      <c r="I4" s="62"/>
      <c r="J4" s="62"/>
      <c r="K4" s="62"/>
      <c r="L4" s="62"/>
      <c r="M4" s="62"/>
    </row>
    <row r="5" spans="1:13" s="1" customFormat="1" ht="14.25">
      <c r="A5" s="63" t="s">
        <v>3</v>
      </c>
      <c r="B5" s="63"/>
      <c r="C5" s="63"/>
      <c r="D5" s="63"/>
      <c r="E5" s="63"/>
      <c r="F5" s="63"/>
      <c r="G5" s="63"/>
      <c r="H5" s="63"/>
      <c r="I5" s="63"/>
      <c r="J5" s="63"/>
      <c r="K5" s="63"/>
      <c r="L5" s="63"/>
      <c r="M5" s="6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64" t="s">
        <v>95</v>
      </c>
      <c r="B8" s="65"/>
      <c r="C8" s="65"/>
      <c r="D8" s="65"/>
      <c r="E8" s="65"/>
      <c r="F8" s="65"/>
      <c r="G8" s="65"/>
      <c r="H8" s="65"/>
      <c r="I8" s="65"/>
      <c r="J8" s="65"/>
      <c r="K8" s="65"/>
      <c r="L8" s="65"/>
      <c r="M8" s="6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67" t="s">
        <v>4</v>
      </c>
      <c r="J10" s="67"/>
      <c r="K10" s="67"/>
      <c r="L10" s="67"/>
      <c r="M10" s="67"/>
    </row>
    <row r="11" spans="1:13" s="1" customFormat="1" ht="12.75">
      <c r="A11" s="3"/>
      <c r="B11" s="5"/>
      <c r="C11" s="10"/>
      <c r="D11" s="5"/>
      <c r="E11" s="5"/>
      <c r="F11" s="6"/>
      <c r="G11" s="5"/>
      <c r="H11" s="5"/>
      <c r="I11" s="5"/>
      <c r="J11" s="5"/>
      <c r="K11" s="5"/>
      <c r="L11" s="5"/>
      <c r="M11" s="5"/>
    </row>
    <row r="12" spans="1:13" s="12" customFormat="1" ht="12">
      <c r="A12" s="9"/>
      <c r="B12" s="10" t="s">
        <v>5</v>
      </c>
      <c r="C12" s="15" t="s">
        <v>57</v>
      </c>
      <c r="D12" s="10" t="s">
        <v>5</v>
      </c>
      <c r="E12" s="10"/>
      <c r="F12" s="11" t="s">
        <v>6</v>
      </c>
      <c r="G12" s="10" t="s">
        <v>7</v>
      </c>
      <c r="H12" s="10"/>
      <c r="I12" s="10" t="s">
        <v>8</v>
      </c>
      <c r="J12" s="10" t="s">
        <v>72</v>
      </c>
      <c r="K12" s="10" t="s">
        <v>9</v>
      </c>
      <c r="L12" s="10" t="s">
        <v>73</v>
      </c>
      <c r="M12" s="10" t="s">
        <v>42</v>
      </c>
    </row>
    <row r="13" spans="1:13" s="12" customFormat="1" ht="12">
      <c r="A13" s="13" t="s">
        <v>10</v>
      </c>
      <c r="B13" s="8" t="s">
        <v>11</v>
      </c>
      <c r="C13" s="8" t="s">
        <v>18</v>
      </c>
      <c r="D13" s="8" t="s">
        <v>12</v>
      </c>
      <c r="E13" s="8" t="s">
        <v>13</v>
      </c>
      <c r="F13" s="14" t="s">
        <v>14</v>
      </c>
      <c r="G13" s="8" t="s">
        <v>15</v>
      </c>
      <c r="H13" s="15"/>
      <c r="I13" s="8" t="s">
        <v>16</v>
      </c>
      <c r="J13" s="8" t="s">
        <v>17</v>
      </c>
      <c r="K13" s="8" t="s">
        <v>18</v>
      </c>
      <c r="L13" s="8" t="s">
        <v>74</v>
      </c>
      <c r="M13" s="8" t="s">
        <v>43</v>
      </c>
    </row>
    <row r="15" spans="1:13" ht="12.75">
      <c r="A15" s="3">
        <v>42461</v>
      </c>
      <c r="B15" s="16">
        <v>74420353.81</v>
      </c>
      <c r="C15" s="16">
        <v>692977.76</v>
      </c>
      <c r="D15" s="16">
        <f aca="true" t="shared" si="0" ref="D15:D22">B15-C15-E15</f>
        <v>68479004.96</v>
      </c>
      <c r="E15" s="16">
        <v>5248371.09</v>
      </c>
      <c r="F15" s="17">
        <v>795</v>
      </c>
      <c r="G15" s="16">
        <f>E15/F15/30</f>
        <v>220.05748805031448</v>
      </c>
      <c r="I15" s="16">
        <v>1941897.31</v>
      </c>
      <c r="J15" s="16">
        <v>2046864.71</v>
      </c>
      <c r="K15" s="16">
        <v>524837.1</v>
      </c>
      <c r="L15" s="16">
        <v>524837.1</v>
      </c>
      <c r="M15" s="16">
        <v>209934.85</v>
      </c>
    </row>
    <row r="16" spans="1:13" ht="12.75">
      <c r="A16" s="3">
        <v>42491</v>
      </c>
      <c r="B16" s="16">
        <v>74333831.42</v>
      </c>
      <c r="C16" s="16">
        <v>770635.07</v>
      </c>
      <c r="D16" s="16">
        <f t="shared" si="0"/>
        <v>68356030.34</v>
      </c>
      <c r="E16" s="16">
        <v>5207166.01</v>
      </c>
      <c r="F16" s="17">
        <v>795</v>
      </c>
      <c r="G16" s="16">
        <v>211</v>
      </c>
      <c r="I16" s="16">
        <v>1926651.41</v>
      </c>
      <c r="J16" s="16">
        <v>2030794.74</v>
      </c>
      <c r="K16" s="16">
        <v>520716.61</v>
      </c>
      <c r="L16" s="16">
        <v>520716.61</v>
      </c>
      <c r="M16" s="16">
        <v>208286.63</v>
      </c>
    </row>
    <row r="17" spans="1:13" ht="12.75">
      <c r="A17" s="3">
        <v>42522</v>
      </c>
      <c r="B17" s="16">
        <v>67698097.77</v>
      </c>
      <c r="C17" s="16">
        <v>674454.7</v>
      </c>
      <c r="D17" s="16">
        <f t="shared" si="0"/>
        <v>62429233.029999994</v>
      </c>
      <c r="E17" s="16">
        <v>4594410.04</v>
      </c>
      <c r="F17" s="17">
        <v>795</v>
      </c>
      <c r="G17" s="16">
        <v>193</v>
      </c>
      <c r="I17" s="16">
        <v>1699931.74</v>
      </c>
      <c r="J17" s="16">
        <v>1791819.94</v>
      </c>
      <c r="K17" s="16">
        <v>459441.04</v>
      </c>
      <c r="L17" s="16">
        <v>459441.04</v>
      </c>
      <c r="M17" s="16">
        <v>183776.4</v>
      </c>
    </row>
    <row r="18" spans="1:13" ht="12.75">
      <c r="A18" s="3">
        <v>42552</v>
      </c>
      <c r="B18" s="16">
        <v>78146001.76</v>
      </c>
      <c r="C18" s="16">
        <v>845468.83</v>
      </c>
      <c r="D18" s="16">
        <f t="shared" si="0"/>
        <v>71990836.15</v>
      </c>
      <c r="E18" s="16">
        <v>5309696.78</v>
      </c>
      <c r="F18" s="17">
        <v>795</v>
      </c>
      <c r="G18" s="16">
        <v>215</v>
      </c>
      <c r="I18" s="16">
        <v>1964587.79</v>
      </c>
      <c r="J18" s="16">
        <v>2070781.76</v>
      </c>
      <c r="K18" s="16">
        <v>530969.69</v>
      </c>
      <c r="L18" s="16">
        <v>530969.69</v>
      </c>
      <c r="M18" s="16">
        <v>212387.87</v>
      </c>
    </row>
    <row r="19" spans="1:13" ht="12.75">
      <c r="A19" s="3">
        <v>42583</v>
      </c>
      <c r="B19" s="16">
        <v>75494395.03</v>
      </c>
      <c r="C19" s="16">
        <v>695405.78</v>
      </c>
      <c r="D19" s="16">
        <f t="shared" si="0"/>
        <v>69711588.26</v>
      </c>
      <c r="E19" s="16">
        <v>5087400.99</v>
      </c>
      <c r="F19" s="17">
        <v>725</v>
      </c>
      <c r="G19" s="16">
        <v>226</v>
      </c>
      <c r="I19" s="16">
        <v>1882338.37</v>
      </c>
      <c r="J19" s="16">
        <v>1984086.4</v>
      </c>
      <c r="K19" s="16">
        <v>508740.1</v>
      </c>
      <c r="L19" s="16">
        <v>508740.1</v>
      </c>
      <c r="M19" s="16">
        <v>203496.04</v>
      </c>
    </row>
    <row r="20" spans="1:13" ht="12.75">
      <c r="A20" s="3">
        <v>42614</v>
      </c>
      <c r="B20" s="16">
        <v>74150655.57</v>
      </c>
      <c r="C20" s="16">
        <v>797961.05</v>
      </c>
      <c r="D20" s="16">
        <f t="shared" si="0"/>
        <v>68263849.72</v>
      </c>
      <c r="E20" s="16">
        <v>5088844.8</v>
      </c>
      <c r="F20" s="17">
        <v>787</v>
      </c>
      <c r="G20" s="16">
        <v>216</v>
      </c>
      <c r="I20" s="16">
        <v>1882872.57</v>
      </c>
      <c r="J20" s="16">
        <v>1984649.46</v>
      </c>
      <c r="K20" s="16">
        <v>508884.49</v>
      </c>
      <c r="L20" s="16">
        <v>508884.49</v>
      </c>
      <c r="M20" s="16">
        <v>203553.75</v>
      </c>
    </row>
    <row r="21" spans="1:13" ht="12.75">
      <c r="A21" s="3">
        <v>42644</v>
      </c>
      <c r="B21" s="16">
        <v>70241858.06</v>
      </c>
      <c r="C21" s="16">
        <v>699505.12</v>
      </c>
      <c r="D21" s="16">
        <f t="shared" si="0"/>
        <v>64606776.239999995</v>
      </c>
      <c r="E21" s="16">
        <v>4935576.7</v>
      </c>
      <c r="F21" s="17">
        <v>716</v>
      </c>
      <c r="G21" s="16">
        <v>222</v>
      </c>
      <c r="I21" s="16">
        <v>1826163.42</v>
      </c>
      <c r="J21" s="16">
        <v>1924874.91</v>
      </c>
      <c r="K21" s="16">
        <v>493557.71</v>
      </c>
      <c r="L21" s="16">
        <v>493557.71</v>
      </c>
      <c r="M21" s="16">
        <v>197423.07</v>
      </c>
    </row>
    <row r="22" spans="1:13" ht="12.75">
      <c r="A22" s="3">
        <v>42675</v>
      </c>
      <c r="B22" s="16">
        <v>64772679.41</v>
      </c>
      <c r="C22" s="16">
        <v>648299.64</v>
      </c>
      <c r="D22" s="16">
        <f t="shared" si="0"/>
        <v>59731992.199999996</v>
      </c>
      <c r="E22" s="16">
        <v>4392387.57</v>
      </c>
      <c r="F22" s="17">
        <v>511</v>
      </c>
      <c r="G22" s="16">
        <v>287</v>
      </c>
      <c r="I22" s="16">
        <v>1625183.41</v>
      </c>
      <c r="J22" s="16">
        <v>1713031.14</v>
      </c>
      <c r="K22" s="16">
        <v>439238.78</v>
      </c>
      <c r="L22" s="16">
        <v>439238.79</v>
      </c>
      <c r="M22" s="16">
        <v>175695.47</v>
      </c>
    </row>
    <row r="23" ht="12.75">
      <c r="A23" s="3">
        <v>42705</v>
      </c>
    </row>
    <row r="24" ht="12.75">
      <c r="A24" s="3">
        <v>42736</v>
      </c>
    </row>
    <row r="25" ht="12.75">
      <c r="A25" s="3">
        <v>42767</v>
      </c>
    </row>
    <row r="26" ht="12.75">
      <c r="A26" s="3">
        <v>42795</v>
      </c>
    </row>
    <row r="27" spans="1:13" ht="13.5" thickBot="1">
      <c r="A27" s="74" t="s">
        <v>19</v>
      </c>
      <c r="B27" s="75">
        <f>SUM(B15:B26)</f>
        <v>579257872.8299999</v>
      </c>
      <c r="C27" s="75">
        <f>SUM(C15:C26)</f>
        <v>5824707.95</v>
      </c>
      <c r="D27" s="75">
        <f>SUM(D15:D26)</f>
        <v>533569310.90000004</v>
      </c>
      <c r="E27" s="75">
        <f>SUM(E15:E26)</f>
        <v>39863853.980000004</v>
      </c>
      <c r="F27" s="76">
        <v>740</v>
      </c>
      <c r="G27" s="75">
        <v>221</v>
      </c>
      <c r="H27" s="33"/>
      <c r="I27" s="75">
        <f>SUM(I15:I26)</f>
        <v>14749626.020000001</v>
      </c>
      <c r="J27" s="75">
        <f>SUM(J15:J26)</f>
        <v>15546903.060000002</v>
      </c>
      <c r="K27" s="75">
        <f>SUM(K15:K26)</f>
        <v>3986385.5200000005</v>
      </c>
      <c r="L27" s="75">
        <f>SUM(L15:L26)</f>
        <v>3986385.5300000003</v>
      </c>
      <c r="M27" s="75">
        <f>SUM(M15:M26)</f>
        <v>1594554.08</v>
      </c>
    </row>
    <row r="28" spans="2:13" ht="10.5" customHeight="1" thickTop="1">
      <c r="B28" s="19"/>
      <c r="C28" s="19"/>
      <c r="D28" s="19"/>
      <c r="E28" s="19"/>
      <c r="I28" s="19"/>
      <c r="J28" s="19"/>
      <c r="K28" s="19"/>
      <c r="L28" s="19"/>
      <c r="M28" s="19"/>
    </row>
    <row r="29" spans="1:13" s="22" customFormat="1" ht="12.75">
      <c r="A29" s="20"/>
      <c r="B29" s="21"/>
      <c r="C29" s="21">
        <f>C27/B27</f>
        <v>0.01005546618044746</v>
      </c>
      <c r="D29" s="21">
        <f>D27/B27</f>
        <v>0.9211256953543236</v>
      </c>
      <c r="E29" s="21">
        <f>E27/B27</f>
        <v>0.06881883846522913</v>
      </c>
      <c r="I29" s="21">
        <f>I27/$E$27</f>
        <v>0.3700000011890471</v>
      </c>
      <c r="J29" s="21">
        <f>J27/$E$27</f>
        <v>0.390000000195666</v>
      </c>
      <c r="K29" s="21">
        <f>K27/$E$27</f>
        <v>0.10000000306041659</v>
      </c>
      <c r="L29" s="21">
        <f>L27/$E$27</f>
        <v>0.1000000033112704</v>
      </c>
      <c r="M29" s="21">
        <f>M27/$E$27</f>
        <v>0.03999999801323775</v>
      </c>
    </row>
    <row r="31" spans="1:13" s="23" customFormat="1" ht="12.75">
      <c r="A31" s="64" t="s">
        <v>20</v>
      </c>
      <c r="B31" s="65"/>
      <c r="C31" s="65"/>
      <c r="D31" s="65"/>
      <c r="E31" s="65"/>
      <c r="F31" s="65"/>
      <c r="G31" s="65"/>
      <c r="H31" s="65"/>
      <c r="I31" s="65"/>
      <c r="J31" s="65"/>
      <c r="K31" s="65"/>
      <c r="L31" s="65"/>
      <c r="M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87</v>
      </c>
      <c r="B36" s="26"/>
      <c r="C36" s="26" t="s">
        <v>51</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22</v>
      </c>
      <c r="B38" s="42"/>
      <c r="C38" s="43" t="s">
        <v>91</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24</v>
      </c>
      <c r="B40" s="42"/>
      <c r="C40" s="42" t="s">
        <v>52</v>
      </c>
      <c r="D40" s="46"/>
      <c r="E40" s="47"/>
      <c r="F40" s="42"/>
      <c r="G40" s="42"/>
      <c r="H40" s="42"/>
      <c r="I40" s="42"/>
      <c r="J40" s="42"/>
      <c r="K40" s="42"/>
      <c r="L40" s="42"/>
    </row>
    <row r="41" spans="1:12" s="45" customFormat="1" ht="12.75">
      <c r="A41" s="41"/>
      <c r="B41" s="42"/>
      <c r="C41" s="42" t="s">
        <v>53</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27</v>
      </c>
      <c r="B43" s="42"/>
      <c r="C43" s="42" t="s">
        <v>28</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65</v>
      </c>
      <c r="B45" s="42"/>
      <c r="C45" s="42" t="s">
        <v>68</v>
      </c>
      <c r="D45" s="46"/>
      <c r="E45" s="47"/>
      <c r="F45" s="42"/>
      <c r="G45" s="42"/>
      <c r="H45" s="42"/>
      <c r="I45" s="42"/>
      <c r="J45" s="42"/>
      <c r="K45" s="42"/>
      <c r="L45" s="42"/>
    </row>
    <row r="46" spans="1:12" s="45" customFormat="1" ht="12.75">
      <c r="A46" s="41"/>
      <c r="B46" s="42"/>
      <c r="C46" s="42" t="s">
        <v>75</v>
      </c>
      <c r="D46" s="46"/>
      <c r="E46" s="47"/>
      <c r="F46" s="42"/>
      <c r="G46" s="42"/>
      <c r="H46" s="42"/>
      <c r="I46" s="42"/>
      <c r="J46" s="42"/>
      <c r="K46" s="42"/>
      <c r="L46" s="42"/>
    </row>
    <row r="47" spans="1:12" s="45" customFormat="1" ht="12.75">
      <c r="A47" s="41"/>
      <c r="B47" s="42"/>
      <c r="C47" s="42" t="s">
        <v>76</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29</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77</v>
      </c>
      <c r="B52" s="42"/>
      <c r="C52" s="42" t="s">
        <v>70</v>
      </c>
      <c r="D52" s="46"/>
      <c r="E52" s="47"/>
      <c r="F52" s="42"/>
      <c r="G52" s="42"/>
      <c r="H52" s="42"/>
      <c r="I52" s="42"/>
      <c r="J52" s="42"/>
      <c r="K52" s="42"/>
      <c r="L52" s="42"/>
    </row>
    <row r="53" spans="1:12" s="45" customFormat="1" ht="12.75">
      <c r="A53" s="48"/>
      <c r="B53" s="42"/>
      <c r="C53" s="42" t="s">
        <v>71</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44</v>
      </c>
      <c r="B55" s="42"/>
      <c r="C55" s="42" t="s">
        <v>54</v>
      </c>
      <c r="D55" s="46"/>
      <c r="E55" s="47"/>
      <c r="F55" s="42"/>
      <c r="G55" s="42"/>
      <c r="H55" s="42"/>
      <c r="I55" s="42"/>
      <c r="J55" s="42"/>
      <c r="K55" s="42"/>
      <c r="L55" s="46"/>
    </row>
    <row r="56" spans="1:12" s="45" customFormat="1" ht="12.75">
      <c r="A56" s="48"/>
      <c r="B56" s="42"/>
      <c r="C56" s="42" t="s">
        <v>55</v>
      </c>
      <c r="D56" s="46"/>
      <c r="E56" s="47"/>
      <c r="F56" s="42"/>
      <c r="G56" s="42"/>
      <c r="H56" s="42"/>
      <c r="I56" s="42"/>
      <c r="J56" s="42"/>
      <c r="K56" s="42"/>
      <c r="L56" s="46"/>
    </row>
    <row r="57" spans="1:12" s="45" customFormat="1" ht="12.75">
      <c r="A57" s="48"/>
      <c r="B57" s="42"/>
      <c r="C57" s="42" t="s">
        <v>56</v>
      </c>
      <c r="D57" s="46"/>
      <c r="E57" s="47"/>
      <c r="F57" s="42"/>
      <c r="G57" s="42"/>
      <c r="H57" s="42"/>
      <c r="I57" s="42"/>
      <c r="J57" s="42"/>
      <c r="K57" s="42"/>
      <c r="L57" s="46"/>
    </row>
    <row r="58" spans="1:13" ht="12.75">
      <c r="A58" s="29"/>
      <c r="B58" s="30"/>
      <c r="C58" s="30"/>
      <c r="D58" s="26"/>
      <c r="E58" s="30"/>
      <c r="F58" s="31"/>
      <c r="G58" s="30"/>
      <c r="H58" s="30"/>
      <c r="I58" s="30"/>
      <c r="J58" s="30"/>
      <c r="K58" s="30"/>
      <c r="L58" s="30"/>
      <c r="M58" s="30"/>
    </row>
    <row r="59" spans="1:13" s="23" customFormat="1" ht="12.75">
      <c r="A59" s="64" t="s">
        <v>30</v>
      </c>
      <c r="B59" s="65"/>
      <c r="C59" s="65"/>
      <c r="D59" s="65"/>
      <c r="E59" s="65"/>
      <c r="F59" s="65"/>
      <c r="G59" s="65"/>
      <c r="H59" s="65"/>
      <c r="I59" s="65"/>
      <c r="J59" s="65"/>
      <c r="K59" s="65"/>
      <c r="L59" s="65"/>
      <c r="M59" s="66"/>
    </row>
    <row r="60" ht="12.75">
      <c r="A60" s="24"/>
    </row>
    <row r="61" spans="1:13" ht="13.5">
      <c r="A61" s="32"/>
      <c r="E61" s="10" t="s">
        <v>8</v>
      </c>
      <c r="F61" s="67" t="s">
        <v>78</v>
      </c>
      <c r="G61" s="67"/>
      <c r="H61" s="67"/>
      <c r="I61" s="67"/>
      <c r="J61" s="10" t="s">
        <v>9</v>
      </c>
      <c r="K61" s="53" t="s">
        <v>73</v>
      </c>
      <c r="L61" s="10" t="s">
        <v>42</v>
      </c>
      <c r="M61" s="34"/>
    </row>
    <row r="62" spans="1:13" ht="12.75">
      <c r="A62" s="35"/>
      <c r="E62" s="8" t="s">
        <v>16</v>
      </c>
      <c r="F62" s="8" t="s">
        <v>79</v>
      </c>
      <c r="G62" s="58" t="s">
        <v>80</v>
      </c>
      <c r="H62" s="57"/>
      <c r="I62" s="8" t="s">
        <v>81</v>
      </c>
      <c r="J62" s="8" t="s">
        <v>18</v>
      </c>
      <c r="K62" s="54" t="s">
        <v>74</v>
      </c>
      <c r="L62" s="8" t="s">
        <v>43</v>
      </c>
      <c r="M62" s="34"/>
    </row>
    <row r="63" spans="2:13" ht="12.75">
      <c r="B63" s="37" t="s">
        <v>31</v>
      </c>
      <c r="C63" s="37"/>
      <c r="E63" s="55">
        <v>0.37</v>
      </c>
      <c r="F63" s="55">
        <v>0.29</v>
      </c>
      <c r="G63" s="59">
        <v>0.0875</v>
      </c>
      <c r="H63" s="56"/>
      <c r="I63" s="55">
        <v>0.0125</v>
      </c>
      <c r="J63" s="55">
        <v>0.1</v>
      </c>
      <c r="K63" s="55">
        <v>0.1</v>
      </c>
      <c r="L63" s="55">
        <v>0.04</v>
      </c>
      <c r="M63" s="39"/>
    </row>
    <row r="64" spans="2:13" ht="12.75">
      <c r="B64" s="37" t="s">
        <v>46</v>
      </c>
      <c r="C64" s="37"/>
      <c r="E64" s="55">
        <v>0.48</v>
      </c>
      <c r="F64" s="55">
        <v>0.18</v>
      </c>
      <c r="G64" s="59">
        <v>0.0875</v>
      </c>
      <c r="H64" s="56"/>
      <c r="I64" s="55">
        <v>0.0125</v>
      </c>
      <c r="J64" s="55">
        <v>0.1</v>
      </c>
      <c r="K64" s="55">
        <v>0.1</v>
      </c>
      <c r="L64" s="55">
        <v>0.04</v>
      </c>
      <c r="M64" s="39"/>
    </row>
    <row r="65" spans="2:13" ht="12.75">
      <c r="B65" s="37" t="s">
        <v>47</v>
      </c>
      <c r="C65" s="37"/>
      <c r="E65" s="55">
        <v>0.52</v>
      </c>
      <c r="F65" s="55">
        <v>0.18</v>
      </c>
      <c r="G65" s="59">
        <v>0.0875</v>
      </c>
      <c r="H65" s="56"/>
      <c r="I65" s="55">
        <v>0.0125</v>
      </c>
      <c r="J65" s="55">
        <v>0.1</v>
      </c>
      <c r="K65" s="55">
        <v>0.1</v>
      </c>
      <c r="L65" s="55">
        <v>0</v>
      </c>
      <c r="M65" s="39"/>
    </row>
    <row r="66" spans="2:13" ht="12.75">
      <c r="B66" s="37" t="s">
        <v>33</v>
      </c>
      <c r="C66" s="37"/>
      <c r="E66" s="55">
        <v>0.54</v>
      </c>
      <c r="F66" s="55">
        <v>0.18</v>
      </c>
      <c r="G66" s="59">
        <v>0.0875</v>
      </c>
      <c r="H66" s="56"/>
      <c r="I66" s="55">
        <v>0.0125</v>
      </c>
      <c r="J66" s="55">
        <v>0.08</v>
      </c>
      <c r="K66" s="55">
        <v>0.1</v>
      </c>
      <c r="L66" s="55">
        <v>0</v>
      </c>
      <c r="M66" s="39"/>
    </row>
    <row r="67" spans="2:13" ht="12.75">
      <c r="B67" s="37" t="s">
        <v>34</v>
      </c>
      <c r="C67" s="37"/>
      <c r="E67" s="55">
        <v>0.57</v>
      </c>
      <c r="F67" s="55">
        <v>0.15</v>
      </c>
      <c r="G67" s="59">
        <v>0.0875</v>
      </c>
      <c r="H67" s="56"/>
      <c r="I67" s="55">
        <v>0.0125</v>
      </c>
      <c r="J67" s="55">
        <v>0.08</v>
      </c>
      <c r="K67" s="55">
        <v>0.1</v>
      </c>
      <c r="L67" s="55">
        <v>0</v>
      </c>
      <c r="M67" s="39"/>
    </row>
    <row r="68" ht="12.75">
      <c r="A68" s="24"/>
    </row>
    <row r="69" spans="1:13" s="23" customFormat="1" ht="12.75">
      <c r="A69" s="68" t="s">
        <v>37</v>
      </c>
      <c r="B69" s="69"/>
      <c r="C69" s="69"/>
      <c r="D69" s="69"/>
      <c r="E69" s="69"/>
      <c r="F69" s="69"/>
      <c r="G69" s="69"/>
      <c r="H69" s="69"/>
      <c r="I69" s="69"/>
      <c r="J69" s="69"/>
      <c r="K69" s="69"/>
      <c r="L69" s="69"/>
      <c r="M69" s="70"/>
    </row>
    <row r="70" spans="1:6" ht="12.75">
      <c r="A70" s="24"/>
      <c r="E70"/>
      <c r="F70" s="16"/>
    </row>
    <row r="71" spans="1:13" ht="49.5" customHeight="1">
      <c r="A71" s="71" t="s">
        <v>97</v>
      </c>
      <c r="B71" s="72"/>
      <c r="C71" s="72"/>
      <c r="D71" s="72"/>
      <c r="E71" s="72"/>
      <c r="F71" s="72"/>
      <c r="G71" s="72"/>
      <c r="H71" s="72"/>
      <c r="I71" s="72"/>
      <c r="J71" s="72"/>
      <c r="K71" s="72"/>
      <c r="L71" s="72"/>
      <c r="M71" s="72"/>
    </row>
    <row r="72" spans="1:6" ht="12.75">
      <c r="A72" s="16"/>
      <c r="E72"/>
      <c r="F72" s="16"/>
    </row>
    <row r="73" spans="2:5" ht="12.75">
      <c r="B73" s="24" t="s">
        <v>38</v>
      </c>
      <c r="C73" s="24"/>
      <c r="D73" s="24"/>
      <c r="E73" s="16">
        <v>160845</v>
      </c>
    </row>
    <row r="74" spans="2:5" ht="12.75">
      <c r="B74" s="24" t="s">
        <v>39</v>
      </c>
      <c r="C74" s="24"/>
      <c r="D74" s="24"/>
      <c r="E74" s="16">
        <v>285007</v>
      </c>
    </row>
    <row r="75" spans="2:5" ht="12.75">
      <c r="B75" s="16" t="s">
        <v>35</v>
      </c>
      <c r="E75" s="16" t="s">
        <v>35</v>
      </c>
    </row>
    <row r="76" ht="12.75">
      <c r="A76" s="28" t="s">
        <v>88</v>
      </c>
    </row>
  </sheetData>
  <sheetProtection/>
  <mergeCells count="12">
    <mergeCell ref="I10:M10"/>
    <mergeCell ref="A31:M31"/>
    <mergeCell ref="A59:M59"/>
    <mergeCell ref="F61:I61"/>
    <mergeCell ref="A69:M69"/>
    <mergeCell ref="A71:M71"/>
    <mergeCell ref="A1:M1"/>
    <mergeCell ref="A2:M2"/>
    <mergeCell ref="A3:M3"/>
    <mergeCell ref="A4:M4"/>
    <mergeCell ref="A5:M5"/>
    <mergeCell ref="A8:M8"/>
  </mergeCells>
  <hyperlinks>
    <hyperlink ref="A4" r:id="rId1" display="www.tiogadowns.com"/>
  </hyperlinks>
  <printOptions horizontalCentered="1"/>
  <pageMargins left="0.25" right="0.25" top="0.75" bottom="0.5" header="0.5" footer="0.5"/>
  <pageSetup fitToHeight="1" fitToWidth="1" horizontalDpi="600" verticalDpi="600" orientation="portrait" scale="74"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5.28125" style="16" customWidth="1"/>
    <col min="12" max="12" width="12.7109375" style="0" customWidth="1"/>
  </cols>
  <sheetData>
    <row r="1" spans="1:11" ht="18">
      <c r="A1" s="60" t="s">
        <v>48</v>
      </c>
      <c r="B1" s="60"/>
      <c r="C1" s="60"/>
      <c r="D1" s="60"/>
      <c r="E1" s="60"/>
      <c r="F1" s="60"/>
      <c r="G1" s="60"/>
      <c r="H1" s="60"/>
      <c r="I1" s="60"/>
      <c r="J1" s="60"/>
      <c r="K1" s="60"/>
    </row>
    <row r="2" spans="1:11" ht="15">
      <c r="A2" s="61" t="s">
        <v>0</v>
      </c>
      <c r="B2" s="61"/>
      <c r="C2" s="61"/>
      <c r="D2" s="61"/>
      <c r="E2" s="61"/>
      <c r="F2" s="61"/>
      <c r="G2" s="61"/>
      <c r="H2" s="61"/>
      <c r="I2" s="61"/>
      <c r="J2" s="61"/>
      <c r="K2" s="61"/>
    </row>
    <row r="3" spans="1:11" s="1" customFormat="1" ht="15">
      <c r="A3" s="61" t="s">
        <v>1</v>
      </c>
      <c r="B3" s="61"/>
      <c r="C3" s="61"/>
      <c r="D3" s="61"/>
      <c r="E3" s="61"/>
      <c r="F3" s="61"/>
      <c r="G3" s="61"/>
      <c r="H3" s="61"/>
      <c r="I3" s="61"/>
      <c r="J3" s="61"/>
      <c r="K3" s="61"/>
    </row>
    <row r="4" spans="1:11" s="1" customFormat="1" ht="14.25" customHeight="1">
      <c r="A4" s="62" t="s">
        <v>2</v>
      </c>
      <c r="B4" s="62"/>
      <c r="C4" s="62"/>
      <c r="D4" s="62"/>
      <c r="E4" s="62"/>
      <c r="F4" s="62"/>
      <c r="G4" s="62"/>
      <c r="H4" s="62"/>
      <c r="I4" s="62"/>
      <c r="J4" s="62"/>
      <c r="K4" s="62"/>
    </row>
    <row r="5" spans="1:11" s="1" customFormat="1" ht="14.25">
      <c r="A5" s="63" t="s">
        <v>3</v>
      </c>
      <c r="B5" s="63"/>
      <c r="C5" s="63"/>
      <c r="D5" s="63"/>
      <c r="E5" s="63"/>
      <c r="F5" s="63"/>
      <c r="G5" s="63"/>
      <c r="H5" s="63"/>
      <c r="I5" s="63"/>
      <c r="J5" s="63"/>
      <c r="K5" s="63"/>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64" t="s">
        <v>59</v>
      </c>
      <c r="B8" s="65"/>
      <c r="C8" s="65"/>
      <c r="D8" s="65"/>
      <c r="E8" s="65"/>
      <c r="F8" s="65"/>
      <c r="G8" s="65"/>
      <c r="H8" s="65"/>
      <c r="I8" s="65"/>
      <c r="J8" s="65"/>
      <c r="K8" s="66"/>
    </row>
    <row r="9" spans="1:11" s="1" customFormat="1" ht="9" customHeight="1">
      <c r="A9" s="3"/>
      <c r="B9" s="4"/>
      <c r="C9" s="4"/>
      <c r="D9" s="5"/>
      <c r="E9" s="6"/>
      <c r="F9" s="5"/>
      <c r="G9" s="5"/>
      <c r="H9" s="5"/>
      <c r="I9" s="5"/>
      <c r="J9" s="5"/>
      <c r="K9" s="5"/>
    </row>
    <row r="10" spans="1:11" s="1" customFormat="1" ht="12.75">
      <c r="A10" s="3"/>
      <c r="B10" s="5"/>
      <c r="C10" s="5"/>
      <c r="D10" s="5"/>
      <c r="E10" s="6"/>
      <c r="F10" s="5"/>
      <c r="G10" s="5"/>
      <c r="H10" s="67" t="s">
        <v>4</v>
      </c>
      <c r="I10" s="67"/>
      <c r="J10" s="67"/>
      <c r="K10" s="67"/>
    </row>
    <row r="11" spans="1:11" s="1" customFormat="1" ht="7.5" customHeight="1">
      <c r="A11" s="3"/>
      <c r="B11" s="5"/>
      <c r="C11" s="5"/>
      <c r="D11" s="5"/>
      <c r="E11" s="6"/>
      <c r="F11" s="5"/>
      <c r="G11" s="5"/>
      <c r="H11" s="5"/>
      <c r="I11" s="5"/>
      <c r="J11" s="5"/>
      <c r="K11" s="5"/>
    </row>
    <row r="12" spans="1:11" s="12" customFormat="1" ht="12">
      <c r="A12" s="9"/>
      <c r="B12" s="10" t="s">
        <v>5</v>
      </c>
      <c r="C12" s="10" t="s">
        <v>5</v>
      </c>
      <c r="D12" s="10"/>
      <c r="E12" s="11" t="s">
        <v>6</v>
      </c>
      <c r="F12" s="10" t="s">
        <v>7</v>
      </c>
      <c r="G12" s="10"/>
      <c r="H12" s="10" t="s">
        <v>8</v>
      </c>
      <c r="I12" s="10" t="s">
        <v>72</v>
      </c>
      <c r="J12" s="10" t="s">
        <v>9</v>
      </c>
      <c r="K12" s="10" t="s">
        <v>73</v>
      </c>
    </row>
    <row r="13" spans="1:11" s="12" customFormat="1" ht="12">
      <c r="A13" s="13" t="s">
        <v>10</v>
      </c>
      <c r="B13" s="8" t="s">
        <v>11</v>
      </c>
      <c r="C13" s="8" t="s">
        <v>12</v>
      </c>
      <c r="D13" s="8" t="s">
        <v>13</v>
      </c>
      <c r="E13" s="14" t="s">
        <v>14</v>
      </c>
      <c r="F13" s="8" t="s">
        <v>15</v>
      </c>
      <c r="G13" s="15"/>
      <c r="H13" s="8" t="s">
        <v>16</v>
      </c>
      <c r="I13" s="8" t="s">
        <v>17</v>
      </c>
      <c r="J13" s="8" t="s">
        <v>18</v>
      </c>
      <c r="K13" s="8" t="s">
        <v>74</v>
      </c>
    </row>
    <row r="15" spans="1:11" ht="12.75">
      <c r="A15" s="3">
        <v>39173</v>
      </c>
      <c r="B15" s="16">
        <v>43846533.60999999</v>
      </c>
      <c r="C15" s="16">
        <f aca="true" t="shared" si="0" ref="C15:C26">B15-D15</f>
        <v>40296925.769999996</v>
      </c>
      <c r="D15" s="16">
        <v>3549607.84</v>
      </c>
      <c r="E15" s="17">
        <f>22500/30</f>
        <v>750</v>
      </c>
      <c r="F15" s="16">
        <v>157.7603484444445</v>
      </c>
      <c r="H15" s="16">
        <v>1774804.02</v>
      </c>
      <c r="I15" s="16">
        <f aca="true" t="shared" si="1" ref="I15:I22">D15*0.32</f>
        <v>1135874.5088</v>
      </c>
      <c r="J15" s="16">
        <f aca="true" t="shared" si="2" ref="J15:J22">D15*0.08</f>
        <v>283968.6272</v>
      </c>
      <c r="K15" s="16">
        <f aca="true" t="shared" si="3" ref="K15:K22">D15*0.1</f>
        <v>354960.784</v>
      </c>
    </row>
    <row r="16" spans="1:11" ht="12.75">
      <c r="A16" s="3">
        <v>39203</v>
      </c>
      <c r="B16" s="16">
        <v>44440870.959999986</v>
      </c>
      <c r="C16" s="16">
        <f t="shared" si="0"/>
        <v>40925882.52999999</v>
      </c>
      <c r="D16" s="16">
        <v>3514988.43</v>
      </c>
      <c r="E16" s="17">
        <f>23250/31</f>
        <v>750</v>
      </c>
      <c r="F16" s="16">
        <v>151.18229806451615</v>
      </c>
      <c r="H16" s="16">
        <v>1757494.3</v>
      </c>
      <c r="I16" s="16">
        <f t="shared" si="1"/>
        <v>1124796.2976000002</v>
      </c>
      <c r="J16" s="16">
        <f t="shared" si="2"/>
        <v>281199.07440000004</v>
      </c>
      <c r="K16" s="16">
        <f t="shared" si="3"/>
        <v>351498.84300000005</v>
      </c>
    </row>
    <row r="17" spans="1:11" ht="12.75">
      <c r="A17" s="3">
        <v>39234</v>
      </c>
      <c r="B17" s="16">
        <v>43966685.10999999</v>
      </c>
      <c r="C17" s="16">
        <f t="shared" si="0"/>
        <v>40506973.13999999</v>
      </c>
      <c r="D17" s="16">
        <v>3459711.97</v>
      </c>
      <c r="E17" s="17">
        <f>22500/30</f>
        <v>750</v>
      </c>
      <c r="F17" s="16">
        <v>153.76497644444444</v>
      </c>
      <c r="H17" s="16">
        <v>1729856.04</v>
      </c>
      <c r="I17" s="16">
        <f t="shared" si="1"/>
        <v>1107107.8304</v>
      </c>
      <c r="J17" s="16">
        <f t="shared" si="2"/>
        <v>276776.9576</v>
      </c>
      <c r="K17" s="16">
        <f t="shared" si="3"/>
        <v>345971.19700000004</v>
      </c>
    </row>
    <row r="18" spans="1:11" ht="12.75">
      <c r="A18" s="3">
        <v>39264</v>
      </c>
      <c r="B18" s="16">
        <v>50647562.22</v>
      </c>
      <c r="C18" s="16">
        <f t="shared" si="0"/>
        <v>46633199.4</v>
      </c>
      <c r="D18" s="16">
        <v>4014362.82</v>
      </c>
      <c r="E18" s="17">
        <f>23250/31</f>
        <v>750</v>
      </c>
      <c r="F18" s="16">
        <v>172.66076645161291</v>
      </c>
      <c r="H18" s="16">
        <v>2007181.48</v>
      </c>
      <c r="I18" s="16">
        <f t="shared" si="1"/>
        <v>1284596.1024</v>
      </c>
      <c r="J18" s="16">
        <f t="shared" si="2"/>
        <v>321149.0256</v>
      </c>
      <c r="K18" s="16">
        <f t="shared" si="3"/>
        <v>401436.282</v>
      </c>
    </row>
    <row r="19" spans="1:11" ht="12.75">
      <c r="A19" s="3">
        <v>39295</v>
      </c>
      <c r="B19" s="16">
        <v>49466539.64999999</v>
      </c>
      <c r="C19" s="16">
        <f t="shared" si="0"/>
        <v>45538131.25999999</v>
      </c>
      <c r="D19" s="16">
        <v>3928408.39</v>
      </c>
      <c r="E19" s="17">
        <f>23250/31</f>
        <v>750</v>
      </c>
      <c r="F19" s="16">
        <v>168.96380172043015</v>
      </c>
      <c r="H19" s="16">
        <v>1964204.3</v>
      </c>
      <c r="I19" s="16">
        <f t="shared" si="1"/>
        <v>1257090.6848000002</v>
      </c>
      <c r="J19" s="16">
        <f t="shared" si="2"/>
        <v>314272.67120000004</v>
      </c>
      <c r="K19" s="16">
        <f t="shared" si="3"/>
        <v>392840.83900000004</v>
      </c>
    </row>
    <row r="20" spans="1:11" ht="12.75">
      <c r="A20" s="3">
        <v>39326</v>
      </c>
      <c r="B20" s="16">
        <v>46843341.25</v>
      </c>
      <c r="C20" s="16">
        <f t="shared" si="0"/>
        <v>43016433.67</v>
      </c>
      <c r="D20" s="16">
        <v>3826907.58</v>
      </c>
      <c r="E20" s="17">
        <f>22500/30</f>
        <v>750</v>
      </c>
      <c r="F20" s="16">
        <f>D20/E20/30</f>
        <v>170.08478133333335</v>
      </c>
      <c r="H20" s="16">
        <f>D20*0.5</f>
        <v>1913453.79</v>
      </c>
      <c r="I20" s="16">
        <f t="shared" si="1"/>
        <v>1224610.4256</v>
      </c>
      <c r="J20" s="16">
        <f t="shared" si="2"/>
        <v>306152.6064</v>
      </c>
      <c r="K20" s="16">
        <f t="shared" si="3"/>
        <v>382690.75800000003</v>
      </c>
    </row>
    <row r="21" spans="1:11" ht="12.75">
      <c r="A21" s="3">
        <v>39356</v>
      </c>
      <c r="B21" s="16">
        <v>44193774.46</v>
      </c>
      <c r="C21" s="16">
        <f t="shared" si="0"/>
        <v>40597261.46</v>
      </c>
      <c r="D21" s="16">
        <v>3596513</v>
      </c>
      <c r="E21" s="17">
        <f>23250/31</f>
        <v>750</v>
      </c>
      <c r="F21" s="16">
        <f>D21/E21/31</f>
        <v>154.6887311827957</v>
      </c>
      <c r="H21" s="16">
        <f>D21*0.5</f>
        <v>1798256.5</v>
      </c>
      <c r="I21" s="16">
        <f t="shared" si="1"/>
        <v>1150884.16</v>
      </c>
      <c r="J21" s="16">
        <f t="shared" si="2"/>
        <v>287721.04</v>
      </c>
      <c r="K21" s="16">
        <f t="shared" si="3"/>
        <v>359651.30000000005</v>
      </c>
    </row>
    <row r="22" spans="1:11" ht="12.75">
      <c r="A22" s="3">
        <v>39387</v>
      </c>
      <c r="B22" s="16">
        <v>39241607.06</v>
      </c>
      <c r="C22" s="16">
        <f t="shared" si="0"/>
        <v>36013270.5</v>
      </c>
      <c r="D22" s="16">
        <v>3228336.56</v>
      </c>
      <c r="E22" s="17">
        <v>750</v>
      </c>
      <c r="F22" s="16">
        <f>D22/E22/30</f>
        <v>143.4816248888889</v>
      </c>
      <c r="H22" s="16">
        <v>1614168.35</v>
      </c>
      <c r="I22" s="16">
        <f t="shared" si="1"/>
        <v>1033067.6992</v>
      </c>
      <c r="J22" s="16">
        <f t="shared" si="2"/>
        <v>258266.9248</v>
      </c>
      <c r="K22" s="16">
        <f t="shared" si="3"/>
        <v>322833.656</v>
      </c>
    </row>
    <row r="23" spans="1:11" ht="12.75">
      <c r="A23" s="3">
        <v>39417</v>
      </c>
      <c r="B23" s="16">
        <v>33275368</v>
      </c>
      <c r="C23" s="16">
        <f t="shared" si="0"/>
        <v>30588312.75</v>
      </c>
      <c r="D23" s="16">
        <v>2687055.25</v>
      </c>
      <c r="E23" s="17">
        <f>23250/31</f>
        <v>750</v>
      </c>
      <c r="F23" s="16">
        <f>D23/E23/31</f>
        <v>115.57226881720429</v>
      </c>
      <c r="H23" s="16">
        <f>D23*0.5</f>
        <v>1343527.625</v>
      </c>
      <c r="I23" s="16">
        <f>D23*0.32</f>
        <v>859857.68</v>
      </c>
      <c r="J23" s="16">
        <f>D23*0.08</f>
        <v>214964.42</v>
      </c>
      <c r="K23" s="16">
        <f>D23*0.1</f>
        <v>268705.525</v>
      </c>
    </row>
    <row r="24" spans="1:11" ht="12.75">
      <c r="A24" s="3">
        <v>39448</v>
      </c>
      <c r="B24" s="16">
        <v>40505356.03</v>
      </c>
      <c r="C24" s="16">
        <f t="shared" si="0"/>
        <v>37134737.25</v>
      </c>
      <c r="D24" s="16">
        <v>3370618.78</v>
      </c>
      <c r="E24" s="17">
        <v>750</v>
      </c>
      <c r="F24" s="16">
        <f>D24/E24/31</f>
        <v>144.97285075268815</v>
      </c>
      <c r="H24" s="16">
        <f>D24*0.5</f>
        <v>1685309.39</v>
      </c>
      <c r="I24" s="16">
        <f>D24*0.32</f>
        <v>1078598.0096</v>
      </c>
      <c r="J24" s="16">
        <f>D24*0.08</f>
        <v>269649.5024</v>
      </c>
      <c r="K24" s="16">
        <f>D24*0.1</f>
        <v>337061.878</v>
      </c>
    </row>
    <row r="25" spans="1:11" ht="12.75">
      <c r="A25" s="3">
        <v>39479</v>
      </c>
      <c r="B25" s="16">
        <v>41709523.34</v>
      </c>
      <c r="C25" s="16">
        <f t="shared" si="0"/>
        <v>38204359.370000005</v>
      </c>
      <c r="D25" s="16">
        <v>3505163.97</v>
      </c>
      <c r="E25" s="17">
        <v>750</v>
      </c>
      <c r="F25" s="16">
        <f>D25/E25/29</f>
        <v>161.15696413793106</v>
      </c>
      <c r="H25" s="16">
        <f>D25*0.5</f>
        <v>1752581.985</v>
      </c>
      <c r="I25" s="16">
        <f>D25*0.32</f>
        <v>1121652.4704</v>
      </c>
      <c r="J25" s="16">
        <f>D25*0.08</f>
        <v>280413.1176</v>
      </c>
      <c r="K25" s="16">
        <f>D25*0.1</f>
        <v>350516.39700000006</v>
      </c>
    </row>
    <row r="26" spans="1:11" ht="12.75">
      <c r="A26" s="3">
        <v>39508</v>
      </c>
      <c r="B26" s="16">
        <v>49212777.67</v>
      </c>
      <c r="C26" s="16">
        <f t="shared" si="0"/>
        <v>45096318.54</v>
      </c>
      <c r="D26" s="16">
        <v>4116459.13</v>
      </c>
      <c r="E26" s="17">
        <v>750</v>
      </c>
      <c r="F26" s="16">
        <f>D26/E26/31</f>
        <v>177.05200559139783</v>
      </c>
      <c r="H26" s="16">
        <f>D26*0.5</f>
        <v>2058229.565</v>
      </c>
      <c r="I26" s="16">
        <f>D26*0.32</f>
        <v>1317266.9216</v>
      </c>
      <c r="J26" s="16">
        <f>D26*0.08</f>
        <v>329316.7304</v>
      </c>
      <c r="K26" s="16">
        <f>D26*0.1</f>
        <v>411645.913</v>
      </c>
    </row>
    <row r="27" spans="1:11" ht="13.5" thickBot="1">
      <c r="A27" s="3" t="s">
        <v>19</v>
      </c>
      <c r="B27" s="18">
        <f>SUM(B15:B26)</f>
        <v>527349939.35999995</v>
      </c>
      <c r="C27" s="18">
        <f>SUM(C15:C26)</f>
        <v>484551805.64</v>
      </c>
      <c r="D27" s="18">
        <f>SUM(D15:D26)</f>
        <v>42798133.72</v>
      </c>
      <c r="H27" s="18">
        <f>SUM(H15:H26)</f>
        <v>21399067.345</v>
      </c>
      <c r="I27" s="18">
        <f>SUM(I15:I26)</f>
        <v>13695402.790400002</v>
      </c>
      <c r="J27" s="18">
        <f>SUM(J15:J26)</f>
        <v>3423850.6976000005</v>
      </c>
      <c r="K27" s="18">
        <f>SUM(K15:K26)</f>
        <v>4279813.372</v>
      </c>
    </row>
    <row r="28" spans="2:11" ht="10.5" customHeight="1" thickTop="1">
      <c r="B28" s="19"/>
      <c r="C28" s="19"/>
      <c r="D28" s="19"/>
      <c r="H28" s="19"/>
      <c r="I28" s="19"/>
      <c r="J28" s="19"/>
      <c r="K28" s="19"/>
    </row>
    <row r="29" spans="1:11" s="22" customFormat="1" ht="12.75">
      <c r="A29" s="20"/>
      <c r="B29" s="21"/>
      <c r="C29" s="21">
        <f>C27/B27</f>
        <v>0.9188430100666354</v>
      </c>
      <c r="D29" s="21">
        <f>D27/B27</f>
        <v>0.08115698993336469</v>
      </c>
      <c r="H29" s="21">
        <f>H27/$D$27</f>
        <v>0.5000000113322698</v>
      </c>
      <c r="I29" s="21">
        <f>I27/$D$27</f>
        <v>0.32000000000000006</v>
      </c>
      <c r="J29" s="21">
        <f>J27/$D$27</f>
        <v>0.08000000000000002</v>
      </c>
      <c r="K29" s="21">
        <f>K27/$D$27</f>
        <v>0.10000000000000002</v>
      </c>
    </row>
    <row r="31" spans="1:11" s="23" customFormat="1" ht="12.75">
      <c r="A31" s="64" t="s">
        <v>20</v>
      </c>
      <c r="B31" s="65"/>
      <c r="C31" s="65"/>
      <c r="D31" s="65"/>
      <c r="E31" s="65"/>
      <c r="F31" s="65"/>
      <c r="G31" s="65"/>
      <c r="H31" s="65"/>
      <c r="I31" s="65"/>
      <c r="J31" s="65"/>
      <c r="K31" s="66"/>
    </row>
    <row r="32" ht="15.75" customHeight="1">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22</v>
      </c>
      <c r="B36" s="26"/>
      <c r="C36" s="26" t="s">
        <v>23</v>
      </c>
      <c r="E36" s="26"/>
      <c r="F36" s="26"/>
      <c r="G36" s="26"/>
      <c r="H36" s="26"/>
      <c r="I36" s="26"/>
      <c r="J36" s="26"/>
      <c r="K36" s="26"/>
    </row>
    <row r="37" spans="1:11" ht="6" customHeight="1">
      <c r="A37" s="25"/>
      <c r="B37" s="26"/>
      <c r="C37" s="26"/>
      <c r="E37" s="26"/>
      <c r="F37" s="26"/>
      <c r="G37" s="26"/>
      <c r="H37" s="26"/>
      <c r="I37" s="26"/>
      <c r="J37" s="26"/>
      <c r="K37" s="26"/>
    </row>
    <row r="38" spans="1:11" ht="12.75">
      <c r="A38" s="25" t="s">
        <v>24</v>
      </c>
      <c r="B38" s="26"/>
      <c r="C38" s="26" t="s">
        <v>25</v>
      </c>
      <c r="E38" s="27"/>
      <c r="F38" s="26"/>
      <c r="G38" s="26"/>
      <c r="H38" s="26"/>
      <c r="I38" s="26"/>
      <c r="J38" s="26"/>
      <c r="K38" s="26"/>
    </row>
    <row r="39" spans="1:11" ht="12.75">
      <c r="A39" s="25"/>
      <c r="B39" s="26"/>
      <c r="C39" s="26" t="s">
        <v>26</v>
      </c>
      <c r="E39" s="27"/>
      <c r="F39" s="26"/>
      <c r="G39" s="26"/>
      <c r="H39" s="26"/>
      <c r="I39" s="26"/>
      <c r="J39" s="26"/>
      <c r="K39" s="26"/>
    </row>
    <row r="40" spans="1:11" ht="6" customHeight="1">
      <c r="A40" s="25"/>
      <c r="B40" s="26"/>
      <c r="C40" s="26"/>
      <c r="E40" s="27"/>
      <c r="F40" s="26"/>
      <c r="G40" s="26"/>
      <c r="H40" s="26"/>
      <c r="I40" s="26"/>
      <c r="J40" s="26"/>
      <c r="K40" s="26"/>
    </row>
    <row r="41" spans="1:11" ht="12.75">
      <c r="A41" s="25" t="s">
        <v>27</v>
      </c>
      <c r="B41" s="26"/>
      <c r="C41" s="26" t="s">
        <v>28</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65</v>
      </c>
      <c r="B43" s="42"/>
      <c r="C43" s="42" t="s">
        <v>68</v>
      </c>
      <c r="D43" s="46"/>
      <c r="E43" s="47"/>
      <c r="F43" s="42"/>
      <c r="G43" s="42"/>
      <c r="H43" s="42"/>
      <c r="I43" s="42"/>
      <c r="J43" s="42"/>
      <c r="K43" s="42"/>
      <c r="L43" s="42"/>
    </row>
    <row r="44" spans="1:12" s="45" customFormat="1" ht="12.75">
      <c r="A44" s="41"/>
      <c r="B44" s="42"/>
      <c r="C44" s="42" t="s">
        <v>75</v>
      </c>
      <c r="D44" s="46"/>
      <c r="E44" s="47"/>
      <c r="F44" s="42"/>
      <c r="G44" s="42"/>
      <c r="H44" s="42"/>
      <c r="I44" s="42"/>
      <c r="J44" s="42"/>
      <c r="K44" s="42"/>
      <c r="L44" s="42"/>
    </row>
    <row r="45" spans="1:12" s="45" customFormat="1" ht="12.75">
      <c r="A45" s="41"/>
      <c r="B45" s="42"/>
      <c r="C45" s="42" t="s">
        <v>76</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29</v>
      </c>
      <c r="B47" s="42"/>
      <c r="C47" s="42" t="s">
        <v>66</v>
      </c>
      <c r="D47" s="46"/>
      <c r="E47" s="47"/>
      <c r="F47" s="42"/>
      <c r="G47" s="42"/>
      <c r="H47" s="42"/>
      <c r="I47" s="42"/>
      <c r="J47" s="42"/>
      <c r="K47" s="42"/>
      <c r="L47" s="42"/>
    </row>
    <row r="48" spans="1:12" s="45" customFormat="1" ht="12.75">
      <c r="A48" s="41"/>
      <c r="B48" s="42"/>
      <c r="C48" s="42" t="s">
        <v>67</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69</v>
      </c>
      <c r="B50" s="42"/>
      <c r="C50" s="42" t="s">
        <v>70</v>
      </c>
      <c r="D50" s="46"/>
      <c r="E50" s="47"/>
      <c r="F50" s="42"/>
      <c r="G50" s="42"/>
      <c r="H50" s="42"/>
      <c r="I50" s="42"/>
      <c r="J50" s="42"/>
      <c r="K50" s="42"/>
      <c r="L50" s="42"/>
    </row>
    <row r="51" spans="1:12" s="45" customFormat="1" ht="12.75">
      <c r="A51" s="48"/>
      <c r="B51" s="42"/>
      <c r="C51" s="42" t="s">
        <v>71</v>
      </c>
      <c r="D51" s="46"/>
      <c r="E51" s="47"/>
      <c r="F51" s="42"/>
      <c r="G51" s="42"/>
      <c r="H51" s="42"/>
      <c r="I51" s="42"/>
      <c r="J51" s="42"/>
      <c r="K51" s="42"/>
      <c r="L51" s="42"/>
    </row>
    <row r="52" spans="1:11" ht="12.75">
      <c r="A52" s="29"/>
      <c r="B52" s="30"/>
      <c r="C52" s="30"/>
      <c r="D52" s="30"/>
      <c r="E52" s="31"/>
      <c r="F52" s="30"/>
      <c r="G52" s="30"/>
      <c r="H52" s="30"/>
      <c r="I52" s="30"/>
      <c r="J52" s="30"/>
      <c r="K52" s="30"/>
    </row>
    <row r="53" spans="1:11" s="23" customFormat="1" ht="12.75">
      <c r="A53" s="64" t="s">
        <v>30</v>
      </c>
      <c r="B53" s="65"/>
      <c r="C53" s="65"/>
      <c r="D53" s="65"/>
      <c r="E53" s="65"/>
      <c r="F53" s="65"/>
      <c r="G53" s="65"/>
      <c r="H53" s="65"/>
      <c r="I53" s="65"/>
      <c r="J53" s="65"/>
      <c r="K53" s="66"/>
    </row>
    <row r="54" ht="12.75">
      <c r="A54" s="24"/>
    </row>
    <row r="55" spans="1:11" ht="13.5">
      <c r="A55" s="32"/>
      <c r="F55" s="10" t="s">
        <v>8</v>
      </c>
      <c r="G55" s="33"/>
      <c r="H55" s="10" t="s">
        <v>72</v>
      </c>
      <c r="I55" s="10" t="s">
        <v>9</v>
      </c>
      <c r="J55" s="53" t="s">
        <v>73</v>
      </c>
      <c r="K55" s="34"/>
    </row>
    <row r="56" spans="1:11" ht="12.75">
      <c r="A56" s="35"/>
      <c r="F56" s="8" t="s">
        <v>16</v>
      </c>
      <c r="G56" s="36"/>
      <c r="H56" s="8" t="s">
        <v>17</v>
      </c>
      <c r="I56" s="8" t="s">
        <v>18</v>
      </c>
      <c r="J56" s="54" t="s">
        <v>74</v>
      </c>
      <c r="K56" s="34"/>
    </row>
    <row r="57" spans="2:11" ht="12.75">
      <c r="B57" s="37" t="s">
        <v>31</v>
      </c>
      <c r="C57" s="37"/>
      <c r="D57" s="26"/>
      <c r="E57" s="27"/>
      <c r="F57" s="38">
        <v>0.5</v>
      </c>
      <c r="G57" s="26"/>
      <c r="H57" s="38">
        <v>0.32</v>
      </c>
      <c r="I57" s="38">
        <v>0.08</v>
      </c>
      <c r="J57" s="38">
        <v>0.1</v>
      </c>
      <c r="K57" s="39"/>
    </row>
    <row r="58" spans="2:11" ht="12.75">
      <c r="B58" s="37" t="s">
        <v>32</v>
      </c>
      <c r="C58" s="37"/>
      <c r="D58" s="26"/>
      <c r="E58" s="27"/>
      <c r="F58" s="38">
        <v>0.53</v>
      </c>
      <c r="G58" s="26"/>
      <c r="H58" s="38">
        <v>0.29</v>
      </c>
      <c r="I58" s="38">
        <v>0.08</v>
      </c>
      <c r="J58" s="38">
        <v>0.1</v>
      </c>
      <c r="K58" s="39"/>
    </row>
    <row r="59" spans="2:11" ht="12.75">
      <c r="B59" s="37" t="s">
        <v>33</v>
      </c>
      <c r="C59" s="37"/>
      <c r="D59" s="26"/>
      <c r="E59" s="27"/>
      <c r="F59" s="38">
        <v>0.56</v>
      </c>
      <c r="G59" s="26"/>
      <c r="H59" s="38">
        <v>0.29</v>
      </c>
      <c r="I59" s="38">
        <v>0.05</v>
      </c>
      <c r="J59" s="38">
        <v>0.1</v>
      </c>
      <c r="K59" s="39"/>
    </row>
    <row r="60" spans="2:11" ht="12.75">
      <c r="B60" s="37" t="s">
        <v>34</v>
      </c>
      <c r="C60" s="37"/>
      <c r="D60" s="26"/>
      <c r="E60" s="27"/>
      <c r="F60" s="38">
        <v>0.59</v>
      </c>
      <c r="G60" s="26"/>
      <c r="H60" s="38">
        <v>0.26</v>
      </c>
      <c r="I60" s="38">
        <v>0.05</v>
      </c>
      <c r="J60" s="38">
        <v>0.1</v>
      </c>
      <c r="K60" s="39"/>
    </row>
    <row r="61" ht="12.75">
      <c r="A61" s="24"/>
    </row>
    <row r="62" spans="1:11" s="23" customFormat="1" ht="12.75">
      <c r="A62" s="68" t="s">
        <v>37</v>
      </c>
      <c r="B62" s="69"/>
      <c r="C62" s="69"/>
      <c r="D62" s="69"/>
      <c r="E62" s="69"/>
      <c r="F62" s="69"/>
      <c r="G62" s="69"/>
      <c r="H62" s="69"/>
      <c r="I62" s="69"/>
      <c r="J62" s="69"/>
      <c r="K62" s="70"/>
    </row>
    <row r="63" spans="1:5" ht="12.75">
      <c r="A63" s="24"/>
      <c r="D63"/>
      <c r="E63" s="16"/>
    </row>
    <row r="64" spans="1:11" ht="51.75" customHeight="1">
      <c r="A64" s="73" t="s">
        <v>40</v>
      </c>
      <c r="B64" s="73"/>
      <c r="C64" s="73"/>
      <c r="D64" s="73"/>
      <c r="E64" s="73"/>
      <c r="F64" s="73"/>
      <c r="G64" s="73"/>
      <c r="H64" s="73"/>
      <c r="I64" s="73"/>
      <c r="J64" s="73"/>
      <c r="K64" s="73"/>
    </row>
    <row r="65" spans="1:5" ht="12.75">
      <c r="A65" s="16"/>
      <c r="D65"/>
      <c r="E65" s="16"/>
    </row>
    <row r="66" spans="2:4" ht="12.75">
      <c r="B66" s="24" t="s">
        <v>38</v>
      </c>
      <c r="C66" s="24"/>
      <c r="D66" s="16">
        <v>243905</v>
      </c>
    </row>
    <row r="67" spans="2:4" ht="12.75">
      <c r="B67" s="24" t="s">
        <v>39</v>
      </c>
      <c r="C67" s="24"/>
      <c r="D67" s="16">
        <v>372719</v>
      </c>
    </row>
    <row r="68" spans="2:4" ht="12.75">
      <c r="B68" s="16" t="s">
        <v>35</v>
      </c>
      <c r="D68" s="16" t="s">
        <v>35</v>
      </c>
    </row>
    <row r="69" ht="12.75">
      <c r="D69" s="16" t="s">
        <v>35</v>
      </c>
    </row>
    <row r="70" ht="12.75">
      <c r="A70" s="24" t="s">
        <v>36</v>
      </c>
    </row>
  </sheetData>
  <sheetProtection/>
  <mergeCells count="11">
    <mergeCell ref="A62:K62"/>
    <mergeCell ref="A64:K64"/>
    <mergeCell ref="A31:K31"/>
    <mergeCell ref="A53:K53"/>
    <mergeCell ref="H10:K10"/>
    <mergeCell ref="A8:K8"/>
    <mergeCell ref="A1:K1"/>
    <mergeCell ref="A4:K4"/>
    <mergeCell ref="A3:K3"/>
    <mergeCell ref="A2:K2"/>
    <mergeCell ref="A5:K5"/>
  </mergeCells>
  <hyperlinks>
    <hyperlink ref="A4" r:id="rId1" display="www.tiogadowns.com"/>
  </hyperlinks>
  <printOptions horizontalCentered="1"/>
  <pageMargins left="0.25" right="0.25" top="0.75" bottom="0.5" header="0.5" footer="0.5"/>
  <pageSetup fitToHeight="1" fitToWidth="1" horizontalDpi="600" verticalDpi="600" orientation="portrait" scale="77"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B29" sqref="B29"/>
    </sheetView>
  </sheetViews>
  <sheetFormatPr defaultColWidth="9.140625" defaultRowHeight="12.75"/>
  <cols>
    <col min="1" max="1" width="9.28125" style="3" customWidth="1"/>
    <col min="2" max="4" width="15.00390625" style="16" customWidth="1"/>
    <col min="5" max="5" width="8.8515625" style="17" customWidth="1"/>
    <col min="6" max="6" width="11.00390625" style="16" customWidth="1"/>
    <col min="7" max="7" width="1.421875" style="16" customWidth="1"/>
    <col min="8" max="11" width="13.8515625" style="16" customWidth="1"/>
    <col min="12" max="12" width="12.7109375" style="0" customWidth="1"/>
  </cols>
  <sheetData>
    <row r="1" spans="1:12" ht="18">
      <c r="A1" s="60" t="s">
        <v>48</v>
      </c>
      <c r="B1" s="60"/>
      <c r="C1" s="60"/>
      <c r="D1" s="60"/>
      <c r="E1" s="60"/>
      <c r="F1" s="60"/>
      <c r="G1" s="60"/>
      <c r="H1" s="60"/>
      <c r="I1" s="60"/>
      <c r="J1" s="60"/>
      <c r="K1" s="60"/>
      <c r="L1" s="40"/>
    </row>
    <row r="2" spans="1:11" ht="15">
      <c r="A2" s="61" t="s">
        <v>0</v>
      </c>
      <c r="B2" s="61"/>
      <c r="C2" s="61"/>
      <c r="D2" s="61"/>
      <c r="E2" s="61"/>
      <c r="F2" s="61"/>
      <c r="G2" s="61"/>
      <c r="H2" s="61"/>
      <c r="I2" s="61"/>
      <c r="J2" s="61"/>
      <c r="K2" s="61"/>
    </row>
    <row r="3" spans="1:11" s="1" customFormat="1" ht="15">
      <c r="A3" s="61" t="s">
        <v>1</v>
      </c>
      <c r="B3" s="61"/>
      <c r="C3" s="61"/>
      <c r="D3" s="61"/>
      <c r="E3" s="61"/>
      <c r="F3" s="61"/>
      <c r="G3" s="61"/>
      <c r="H3" s="61"/>
      <c r="I3" s="61"/>
      <c r="J3" s="61"/>
      <c r="K3" s="61"/>
    </row>
    <row r="4" spans="1:11" s="1" customFormat="1" ht="14.25" customHeight="1">
      <c r="A4" s="62" t="s">
        <v>2</v>
      </c>
      <c r="B4" s="62"/>
      <c r="C4" s="62"/>
      <c r="D4" s="62"/>
      <c r="E4" s="62"/>
      <c r="F4" s="62"/>
      <c r="G4" s="62"/>
      <c r="H4" s="62"/>
      <c r="I4" s="62"/>
      <c r="J4" s="62"/>
      <c r="K4" s="62"/>
    </row>
    <row r="5" spans="1:11" s="1" customFormat="1" ht="14.25">
      <c r="A5" s="63" t="s">
        <v>3</v>
      </c>
      <c r="B5" s="63"/>
      <c r="C5" s="63"/>
      <c r="D5" s="63"/>
      <c r="E5" s="63"/>
      <c r="F5" s="63"/>
      <c r="G5" s="63"/>
      <c r="H5" s="63"/>
      <c r="I5" s="63"/>
      <c r="J5" s="63"/>
      <c r="K5" s="63"/>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64" t="s">
        <v>58</v>
      </c>
      <c r="B8" s="65"/>
      <c r="C8" s="65"/>
      <c r="D8" s="65"/>
      <c r="E8" s="65"/>
      <c r="F8" s="65"/>
      <c r="G8" s="65"/>
      <c r="H8" s="65"/>
      <c r="I8" s="65"/>
      <c r="J8" s="65"/>
      <c r="K8" s="66"/>
    </row>
    <row r="9" spans="1:11" s="1" customFormat="1" ht="9" customHeight="1">
      <c r="A9" s="3"/>
      <c r="B9" s="4"/>
      <c r="C9" s="4"/>
      <c r="D9" s="5"/>
      <c r="E9" s="6"/>
      <c r="F9" s="5"/>
      <c r="G9" s="5"/>
      <c r="H9" s="5"/>
      <c r="I9" s="5"/>
      <c r="J9" s="5"/>
      <c r="K9" s="5"/>
    </row>
    <row r="10" spans="1:11" s="1" customFormat="1" ht="12.75">
      <c r="A10" s="3"/>
      <c r="B10" s="5"/>
      <c r="C10" s="5"/>
      <c r="D10" s="5"/>
      <c r="E10" s="6"/>
      <c r="F10" s="5"/>
      <c r="G10" s="5"/>
      <c r="H10" s="67" t="s">
        <v>4</v>
      </c>
      <c r="I10" s="67"/>
      <c r="J10" s="67"/>
      <c r="K10" s="67"/>
    </row>
    <row r="11" spans="1:11" s="1" customFormat="1" ht="7.5" customHeight="1">
      <c r="A11" s="3"/>
      <c r="B11" s="5"/>
      <c r="C11" s="5"/>
      <c r="D11" s="5"/>
      <c r="E11" s="6"/>
      <c r="F11" s="5"/>
      <c r="G11" s="5"/>
      <c r="H11" s="5"/>
      <c r="I11" s="5"/>
      <c r="J11" s="5"/>
      <c r="K11" s="5"/>
    </row>
    <row r="12" spans="1:11" s="12" customFormat="1" ht="12">
      <c r="A12" s="9"/>
      <c r="B12" s="10" t="s">
        <v>5</v>
      </c>
      <c r="C12" s="10" t="s">
        <v>5</v>
      </c>
      <c r="D12" s="10"/>
      <c r="E12" s="11" t="s">
        <v>6</v>
      </c>
      <c r="F12" s="10" t="s">
        <v>7</v>
      </c>
      <c r="G12" s="10"/>
      <c r="H12" s="10" t="s">
        <v>8</v>
      </c>
      <c r="I12" s="10" t="s">
        <v>72</v>
      </c>
      <c r="J12" s="10" t="s">
        <v>9</v>
      </c>
      <c r="K12" s="10" t="s">
        <v>73</v>
      </c>
    </row>
    <row r="13" spans="1:11" s="12" customFormat="1" ht="12">
      <c r="A13" s="13" t="s">
        <v>10</v>
      </c>
      <c r="B13" s="8" t="s">
        <v>11</v>
      </c>
      <c r="C13" s="8" t="s">
        <v>12</v>
      </c>
      <c r="D13" s="8" t="s">
        <v>13</v>
      </c>
      <c r="E13" s="14" t="s">
        <v>14</v>
      </c>
      <c r="F13" s="8" t="s">
        <v>15</v>
      </c>
      <c r="G13" s="15"/>
      <c r="H13" s="8" t="s">
        <v>16</v>
      </c>
      <c r="I13" s="8" t="s">
        <v>17</v>
      </c>
      <c r="J13" s="8" t="s">
        <v>18</v>
      </c>
      <c r="K13" s="8" t="s">
        <v>74</v>
      </c>
    </row>
    <row r="15" spans="1:11" ht="12.75">
      <c r="A15" s="3">
        <v>38808</v>
      </c>
      <c r="B15" s="16">
        <v>0</v>
      </c>
      <c r="C15" s="16">
        <f aca="true" t="shared" si="0" ref="C15:C26">B15-D15</f>
        <v>0</v>
      </c>
      <c r="D15" s="16">
        <v>0</v>
      </c>
      <c r="E15" s="17">
        <v>0</v>
      </c>
      <c r="F15" s="16">
        <v>0</v>
      </c>
      <c r="H15" s="16">
        <v>0</v>
      </c>
      <c r="I15" s="16">
        <f aca="true" t="shared" si="1" ref="I15:I26">D15*0.32</f>
        <v>0</v>
      </c>
      <c r="J15" s="16">
        <f aca="true" t="shared" si="2" ref="J15:J26">D15*0.08</f>
        <v>0</v>
      </c>
      <c r="K15" s="16">
        <f aca="true" t="shared" si="3" ref="K15:K26">D15*0.1</f>
        <v>0</v>
      </c>
    </row>
    <row r="16" spans="1:11" ht="12.75">
      <c r="A16" s="3">
        <v>38838</v>
      </c>
      <c r="B16" s="16">
        <v>0</v>
      </c>
      <c r="C16" s="16">
        <f t="shared" si="0"/>
        <v>0</v>
      </c>
      <c r="D16" s="16">
        <v>0</v>
      </c>
      <c r="E16" s="17">
        <v>0</v>
      </c>
      <c r="F16" s="16">
        <v>0</v>
      </c>
      <c r="H16" s="16">
        <v>0</v>
      </c>
      <c r="I16" s="16">
        <f t="shared" si="1"/>
        <v>0</v>
      </c>
      <c r="J16" s="16">
        <f t="shared" si="2"/>
        <v>0</v>
      </c>
      <c r="K16" s="16">
        <f t="shared" si="3"/>
        <v>0</v>
      </c>
    </row>
    <row r="17" spans="1:11" ht="12.75">
      <c r="A17" s="3">
        <v>38869</v>
      </c>
      <c r="B17" s="16">
        <v>0</v>
      </c>
      <c r="C17" s="16">
        <f t="shared" si="0"/>
        <v>0</v>
      </c>
      <c r="D17" s="16">
        <v>0</v>
      </c>
      <c r="E17" s="17">
        <v>0</v>
      </c>
      <c r="F17" s="16">
        <v>0</v>
      </c>
      <c r="H17" s="16">
        <v>0</v>
      </c>
      <c r="I17" s="16">
        <f t="shared" si="1"/>
        <v>0</v>
      </c>
      <c r="J17" s="16">
        <f t="shared" si="2"/>
        <v>0</v>
      </c>
      <c r="K17" s="16">
        <f t="shared" si="3"/>
        <v>0</v>
      </c>
    </row>
    <row r="18" spans="1:11" ht="12.75">
      <c r="A18" s="3">
        <v>38899</v>
      </c>
      <c r="B18" s="16">
        <v>40433383.279999994</v>
      </c>
      <c r="C18" s="16">
        <f t="shared" si="0"/>
        <v>36956552.599999994</v>
      </c>
      <c r="D18" s="16">
        <v>3476830.68</v>
      </c>
      <c r="E18" s="17">
        <f>21000/28</f>
        <v>750</v>
      </c>
      <c r="F18" s="16">
        <v>165.56336571428574</v>
      </c>
      <c r="H18" s="16">
        <f aca="true" t="shared" si="4" ref="H18:H26">D18*0.5</f>
        <v>1738415.34</v>
      </c>
      <c r="I18" s="16">
        <f t="shared" si="1"/>
        <v>1112585.8176000002</v>
      </c>
      <c r="J18" s="16">
        <f t="shared" si="2"/>
        <v>278146.45440000005</v>
      </c>
      <c r="K18" s="16">
        <f t="shared" si="3"/>
        <v>347683.068</v>
      </c>
    </row>
    <row r="19" spans="1:11" ht="12.75">
      <c r="A19" s="3">
        <v>38930</v>
      </c>
      <c r="B19" s="16">
        <v>46639256.02999999</v>
      </c>
      <c r="C19" s="16">
        <f t="shared" si="0"/>
        <v>42820078.89999998</v>
      </c>
      <c r="D19" s="16">
        <v>3819177.13</v>
      </c>
      <c r="E19" s="17">
        <f>23250/31</f>
        <v>750</v>
      </c>
      <c r="F19" s="16">
        <v>164.26568301075272</v>
      </c>
      <c r="H19" s="16">
        <f t="shared" si="4"/>
        <v>1909588.565</v>
      </c>
      <c r="I19" s="16">
        <f t="shared" si="1"/>
        <v>1222136.6816</v>
      </c>
      <c r="J19" s="16">
        <f t="shared" si="2"/>
        <v>305534.1704</v>
      </c>
      <c r="K19" s="16">
        <f t="shared" si="3"/>
        <v>381917.713</v>
      </c>
    </row>
    <row r="20" spans="1:11" ht="12.75">
      <c r="A20" s="3">
        <v>38961</v>
      </c>
      <c r="B20" s="16">
        <v>47114788.139999986</v>
      </c>
      <c r="C20" s="16">
        <f t="shared" si="0"/>
        <v>43365139.139999986</v>
      </c>
      <c r="D20" s="16">
        <v>3749649</v>
      </c>
      <c r="E20" s="17">
        <f>22500/30</f>
        <v>750</v>
      </c>
      <c r="F20" s="16">
        <v>166.65106666666665</v>
      </c>
      <c r="H20" s="16">
        <f t="shared" si="4"/>
        <v>1874824.5</v>
      </c>
      <c r="I20" s="16">
        <f t="shared" si="1"/>
        <v>1199887.68</v>
      </c>
      <c r="J20" s="16">
        <f t="shared" si="2"/>
        <v>299971.92</v>
      </c>
      <c r="K20" s="16">
        <f t="shared" si="3"/>
        <v>374964.9</v>
      </c>
    </row>
    <row r="21" spans="1:11" ht="12.75">
      <c r="A21" s="3">
        <v>38991</v>
      </c>
      <c r="B21" s="16">
        <v>42778332.3</v>
      </c>
      <c r="C21" s="16">
        <f t="shared" si="0"/>
        <v>39313348.779999994</v>
      </c>
      <c r="D21" s="16">
        <v>3464983.52</v>
      </c>
      <c r="E21" s="17">
        <f>23250/31</f>
        <v>750</v>
      </c>
      <c r="F21" s="16">
        <v>149.03154924731186</v>
      </c>
      <c r="H21" s="16">
        <f t="shared" si="4"/>
        <v>1732491.76</v>
      </c>
      <c r="I21" s="16">
        <f t="shared" si="1"/>
        <v>1108794.7264</v>
      </c>
      <c r="J21" s="16">
        <f t="shared" si="2"/>
        <v>277198.6816</v>
      </c>
      <c r="K21" s="16">
        <f t="shared" si="3"/>
        <v>346498.352</v>
      </c>
    </row>
    <row r="22" spans="1:11" ht="12.75">
      <c r="A22" s="3">
        <v>39022</v>
      </c>
      <c r="B22" s="16">
        <v>40213756.34000001</v>
      </c>
      <c r="C22" s="16">
        <f t="shared" si="0"/>
        <v>36964763.58000001</v>
      </c>
      <c r="D22" s="16">
        <v>3248992.76</v>
      </c>
      <c r="E22" s="17">
        <f>22500/30</f>
        <v>750</v>
      </c>
      <c r="F22" s="16">
        <v>144.3996782222222</v>
      </c>
      <c r="H22" s="16">
        <f t="shared" si="4"/>
        <v>1624496.38</v>
      </c>
      <c r="I22" s="16">
        <f t="shared" si="1"/>
        <v>1039677.6832</v>
      </c>
      <c r="J22" s="16">
        <f t="shared" si="2"/>
        <v>259919.4208</v>
      </c>
      <c r="K22" s="16">
        <f t="shared" si="3"/>
        <v>324899.276</v>
      </c>
    </row>
    <row r="23" spans="1:11" ht="12.75">
      <c r="A23" s="3">
        <v>39052</v>
      </c>
      <c r="B23" s="16">
        <v>37364132.120000005</v>
      </c>
      <c r="C23" s="16">
        <f t="shared" si="0"/>
        <v>34254505.190000005</v>
      </c>
      <c r="D23" s="16">
        <v>3109626.93</v>
      </c>
      <c r="E23" s="17">
        <f>23250/31</f>
        <v>750</v>
      </c>
      <c r="F23" s="16">
        <v>133.74739483870965</v>
      </c>
      <c r="H23" s="16">
        <f t="shared" si="4"/>
        <v>1554813.465</v>
      </c>
      <c r="I23" s="16">
        <f t="shared" si="1"/>
        <v>995080.6176000001</v>
      </c>
      <c r="J23" s="16">
        <f t="shared" si="2"/>
        <v>248770.15440000003</v>
      </c>
      <c r="K23" s="16">
        <f t="shared" si="3"/>
        <v>310962.693</v>
      </c>
    </row>
    <row r="24" spans="1:11" ht="12.75">
      <c r="A24" s="3">
        <v>39083</v>
      </c>
      <c r="B24" s="16">
        <v>38879945.76</v>
      </c>
      <c r="C24" s="16">
        <f t="shared" si="0"/>
        <v>35860728.58</v>
      </c>
      <c r="D24" s="16">
        <v>3019217.18</v>
      </c>
      <c r="E24" s="17">
        <f>23250/31</f>
        <v>750</v>
      </c>
      <c r="F24" s="16">
        <v>129.8588034408602</v>
      </c>
      <c r="H24" s="16">
        <f t="shared" si="4"/>
        <v>1509608.59</v>
      </c>
      <c r="I24" s="16">
        <f t="shared" si="1"/>
        <v>966149.4976000001</v>
      </c>
      <c r="J24" s="16">
        <f t="shared" si="2"/>
        <v>241537.37440000003</v>
      </c>
      <c r="K24" s="16">
        <f t="shared" si="3"/>
        <v>301921.71800000005</v>
      </c>
    </row>
    <row r="25" spans="1:11" ht="12.75">
      <c r="A25" s="3">
        <v>39114</v>
      </c>
      <c r="B25" s="16">
        <v>37190614.07</v>
      </c>
      <c r="C25" s="16">
        <f t="shared" si="0"/>
        <v>34146311.8</v>
      </c>
      <c r="D25" s="16">
        <v>3044302.27</v>
      </c>
      <c r="E25" s="17">
        <f>21000/28</f>
        <v>750</v>
      </c>
      <c r="F25" s="16">
        <v>144.96677476190473</v>
      </c>
      <c r="H25" s="16">
        <f t="shared" si="4"/>
        <v>1522151.135</v>
      </c>
      <c r="I25" s="16">
        <f t="shared" si="1"/>
        <v>974176.7264</v>
      </c>
      <c r="J25" s="16">
        <f t="shared" si="2"/>
        <v>243544.1816</v>
      </c>
      <c r="K25" s="16">
        <f t="shared" si="3"/>
        <v>304430.227</v>
      </c>
    </row>
    <row r="26" spans="1:11" ht="12.75">
      <c r="A26" s="3">
        <v>39142</v>
      </c>
      <c r="B26" s="16">
        <v>43485900.760000005</v>
      </c>
      <c r="C26" s="16">
        <f t="shared" si="0"/>
        <v>39921337.46000001</v>
      </c>
      <c r="D26" s="16">
        <v>3564563.3</v>
      </c>
      <c r="E26" s="17">
        <f>23250/31</f>
        <v>750</v>
      </c>
      <c r="F26" s="16">
        <v>153.31455053763443</v>
      </c>
      <c r="H26" s="16">
        <f t="shared" si="4"/>
        <v>1782281.65</v>
      </c>
      <c r="I26" s="16">
        <f t="shared" si="1"/>
        <v>1140660.256</v>
      </c>
      <c r="J26" s="16">
        <f t="shared" si="2"/>
        <v>285165.064</v>
      </c>
      <c r="K26" s="16">
        <f t="shared" si="3"/>
        <v>356456.33</v>
      </c>
    </row>
    <row r="27" spans="1:11" ht="13.5" thickBot="1">
      <c r="A27" s="3" t="s">
        <v>19</v>
      </c>
      <c r="B27" s="18">
        <f>SUM(B15:B26)</f>
        <v>374100108.79999995</v>
      </c>
      <c r="C27" s="18">
        <f>SUM(C15:C26)</f>
        <v>343602766.03</v>
      </c>
      <c r="D27" s="18">
        <f>SUM(D15:D26)</f>
        <v>30497342.77</v>
      </c>
      <c r="H27" s="18">
        <f>SUM(H15:H26)</f>
        <v>15248671.385</v>
      </c>
      <c r="I27" s="18">
        <f>SUM(I15:I26)</f>
        <v>9759149.6864</v>
      </c>
      <c r="J27" s="18">
        <f>SUM(J15:J26)</f>
        <v>2439787.4216</v>
      </c>
      <c r="K27" s="18">
        <f>SUM(K15:K26)</f>
        <v>3049734.277</v>
      </c>
    </row>
    <row r="28" spans="2:11" ht="10.5" customHeight="1" thickTop="1">
      <c r="B28" s="19"/>
      <c r="C28" s="19"/>
      <c r="D28" s="19"/>
      <c r="H28" s="19"/>
      <c r="I28" s="19"/>
      <c r="J28" s="19"/>
      <c r="K28" s="19"/>
    </row>
    <row r="29" spans="1:11" s="22" customFormat="1" ht="12.75">
      <c r="A29" s="20"/>
      <c r="B29" s="21"/>
      <c r="C29" s="21">
        <f>C27/B27</f>
        <v>0.9184781237625772</v>
      </c>
      <c r="D29" s="21">
        <f>D27/B27</f>
        <v>0.0815218762374228</v>
      </c>
      <c r="H29" s="21">
        <f>H27/$D$27</f>
        <v>0.5</v>
      </c>
      <c r="I29" s="21">
        <f>I27/$D$27</f>
        <v>0.32</v>
      </c>
      <c r="J29" s="21">
        <f>J27/$D$27</f>
        <v>0.08</v>
      </c>
      <c r="K29" s="21">
        <f>K27/$D$27</f>
        <v>0.09999999999999999</v>
      </c>
    </row>
    <row r="31" spans="1:11" s="23" customFormat="1" ht="12.75">
      <c r="A31" s="64" t="s">
        <v>20</v>
      </c>
      <c r="B31" s="65"/>
      <c r="C31" s="65"/>
      <c r="D31" s="65"/>
      <c r="E31" s="65"/>
      <c r="F31" s="65"/>
      <c r="G31" s="65"/>
      <c r="H31" s="65"/>
      <c r="I31" s="65"/>
      <c r="J31" s="65"/>
      <c r="K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22</v>
      </c>
      <c r="B36" s="26"/>
      <c r="C36" s="26" t="s">
        <v>23</v>
      </c>
      <c r="E36" s="26"/>
      <c r="F36" s="26"/>
      <c r="G36" s="26"/>
      <c r="H36" s="26"/>
      <c r="I36" s="26"/>
      <c r="J36" s="26"/>
      <c r="K36" s="26"/>
    </row>
    <row r="37" spans="1:11" ht="6" customHeight="1">
      <c r="A37" s="25"/>
      <c r="B37" s="26"/>
      <c r="C37" s="26"/>
      <c r="E37" s="26"/>
      <c r="F37" s="26"/>
      <c r="G37" s="26"/>
      <c r="H37" s="26"/>
      <c r="I37" s="26"/>
      <c r="J37" s="26"/>
      <c r="K37" s="26"/>
    </row>
    <row r="38" spans="1:11" ht="12.75">
      <c r="A38" s="25" t="s">
        <v>24</v>
      </c>
      <c r="B38" s="26"/>
      <c r="C38" s="26" t="s">
        <v>25</v>
      </c>
      <c r="E38" s="27"/>
      <c r="F38" s="26"/>
      <c r="G38" s="26"/>
      <c r="H38" s="26"/>
      <c r="I38" s="26"/>
      <c r="J38" s="26"/>
      <c r="K38" s="26"/>
    </row>
    <row r="39" spans="1:11" ht="12.75">
      <c r="A39" s="25"/>
      <c r="B39" s="26"/>
      <c r="C39" s="26" t="s">
        <v>26</v>
      </c>
      <c r="E39" s="27"/>
      <c r="F39" s="26"/>
      <c r="G39" s="26"/>
      <c r="H39" s="26"/>
      <c r="I39" s="26"/>
      <c r="J39" s="26"/>
      <c r="K39" s="26"/>
    </row>
    <row r="40" spans="1:11" ht="6" customHeight="1">
      <c r="A40" s="25"/>
      <c r="B40" s="26"/>
      <c r="C40" s="26"/>
      <c r="E40" s="27"/>
      <c r="F40" s="26"/>
      <c r="G40" s="26"/>
      <c r="H40" s="26"/>
      <c r="I40" s="26"/>
      <c r="J40" s="26"/>
      <c r="K40" s="26"/>
    </row>
    <row r="41" spans="1:11" ht="12.75">
      <c r="A41" s="25" t="s">
        <v>27</v>
      </c>
      <c r="B41" s="26"/>
      <c r="C41" s="26" t="s">
        <v>28</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65</v>
      </c>
      <c r="B43" s="42"/>
      <c r="C43" s="42" t="s">
        <v>68</v>
      </c>
      <c r="D43" s="46"/>
      <c r="E43" s="47"/>
      <c r="F43" s="42"/>
      <c r="G43" s="42"/>
      <c r="H43" s="42"/>
      <c r="I43" s="42"/>
      <c r="J43" s="42"/>
      <c r="K43" s="42"/>
      <c r="L43" s="42"/>
    </row>
    <row r="44" spans="1:12" s="45" customFormat="1" ht="12.75">
      <c r="A44" s="41"/>
      <c r="B44" s="42"/>
      <c r="C44" s="42" t="s">
        <v>75</v>
      </c>
      <c r="D44" s="46"/>
      <c r="E44" s="47"/>
      <c r="F44" s="42"/>
      <c r="G44" s="42"/>
      <c r="H44" s="42"/>
      <c r="I44" s="42"/>
      <c r="J44" s="42"/>
      <c r="K44" s="42"/>
      <c r="L44" s="42"/>
    </row>
    <row r="45" spans="1:12" s="45" customFormat="1" ht="12.75">
      <c r="A45" s="41"/>
      <c r="B45" s="42"/>
      <c r="C45" s="42" t="s">
        <v>76</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29</v>
      </c>
      <c r="B47" s="42"/>
      <c r="C47" s="42" t="s">
        <v>66</v>
      </c>
      <c r="D47" s="46"/>
      <c r="E47" s="47"/>
      <c r="F47" s="42"/>
      <c r="G47" s="42"/>
      <c r="H47" s="42"/>
      <c r="I47" s="42"/>
      <c r="J47" s="42"/>
      <c r="K47" s="42"/>
      <c r="L47" s="42"/>
    </row>
    <row r="48" spans="1:12" s="45" customFormat="1" ht="12.75">
      <c r="A48" s="41"/>
      <c r="B48" s="42"/>
      <c r="C48" s="42" t="s">
        <v>67</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69</v>
      </c>
      <c r="B50" s="42"/>
      <c r="C50" s="42" t="s">
        <v>70</v>
      </c>
      <c r="D50" s="46"/>
      <c r="E50" s="47"/>
      <c r="F50" s="42"/>
      <c r="G50" s="42"/>
      <c r="H50" s="42"/>
      <c r="I50" s="42"/>
      <c r="J50" s="42"/>
      <c r="K50" s="42"/>
      <c r="L50" s="42"/>
    </row>
    <row r="51" spans="1:12" s="45" customFormat="1" ht="12.75">
      <c r="A51" s="48"/>
      <c r="B51" s="42"/>
      <c r="C51" s="42" t="s">
        <v>71</v>
      </c>
      <c r="D51" s="46"/>
      <c r="E51" s="47"/>
      <c r="F51" s="42"/>
      <c r="G51" s="42"/>
      <c r="H51" s="42"/>
      <c r="I51" s="42"/>
      <c r="J51" s="42"/>
      <c r="K51" s="42"/>
      <c r="L51" s="42"/>
    </row>
    <row r="52" spans="1:11" ht="12.75">
      <c r="A52" s="29"/>
      <c r="B52" s="30"/>
      <c r="C52" s="30"/>
      <c r="D52" s="30"/>
      <c r="E52" s="31"/>
      <c r="F52" s="30"/>
      <c r="G52" s="30"/>
      <c r="H52" s="30"/>
      <c r="I52" s="30"/>
      <c r="J52" s="30"/>
      <c r="K52" s="30"/>
    </row>
    <row r="53" spans="1:11" s="23" customFormat="1" ht="12.75">
      <c r="A53" s="64" t="s">
        <v>30</v>
      </c>
      <c r="B53" s="65"/>
      <c r="C53" s="65"/>
      <c r="D53" s="65"/>
      <c r="E53" s="65"/>
      <c r="F53" s="65"/>
      <c r="G53" s="65"/>
      <c r="H53" s="65"/>
      <c r="I53" s="65"/>
      <c r="J53" s="65"/>
      <c r="K53" s="66"/>
    </row>
    <row r="54" ht="12.75">
      <c r="A54" s="24"/>
    </row>
    <row r="55" spans="1:11" ht="13.5">
      <c r="A55" s="32"/>
      <c r="F55" s="10" t="s">
        <v>8</v>
      </c>
      <c r="G55" s="33"/>
      <c r="H55" s="10" t="s">
        <v>72</v>
      </c>
      <c r="I55" s="10" t="s">
        <v>9</v>
      </c>
      <c r="J55" s="53" t="s">
        <v>73</v>
      </c>
      <c r="K55" s="34"/>
    </row>
    <row r="56" spans="1:11" ht="12.75">
      <c r="A56" s="35"/>
      <c r="F56" s="8" t="s">
        <v>16</v>
      </c>
      <c r="G56" s="36"/>
      <c r="H56" s="8" t="s">
        <v>17</v>
      </c>
      <c r="I56" s="8" t="s">
        <v>18</v>
      </c>
      <c r="J56" s="54" t="s">
        <v>74</v>
      </c>
      <c r="K56" s="34"/>
    </row>
    <row r="57" spans="2:11" ht="12.75">
      <c r="B57" s="37" t="s">
        <v>31</v>
      </c>
      <c r="C57" s="37"/>
      <c r="D57" s="26"/>
      <c r="E57" s="27"/>
      <c r="F57" s="38">
        <v>0.5</v>
      </c>
      <c r="G57" s="26"/>
      <c r="H57" s="38">
        <v>0.32</v>
      </c>
      <c r="I57" s="38">
        <v>0.08</v>
      </c>
      <c r="J57" s="38">
        <v>0.1</v>
      </c>
      <c r="K57" s="39"/>
    </row>
    <row r="58" spans="2:11" ht="12.75">
      <c r="B58" s="37" t="s">
        <v>32</v>
      </c>
      <c r="C58" s="37"/>
      <c r="D58" s="26"/>
      <c r="E58" s="27"/>
      <c r="F58" s="38">
        <v>0.53</v>
      </c>
      <c r="G58" s="26"/>
      <c r="H58" s="38">
        <v>0.29</v>
      </c>
      <c r="I58" s="38">
        <v>0.08</v>
      </c>
      <c r="J58" s="38">
        <v>0.1</v>
      </c>
      <c r="K58" s="39"/>
    </row>
    <row r="59" spans="2:11" ht="12.75">
      <c r="B59" s="37" t="s">
        <v>33</v>
      </c>
      <c r="C59" s="37"/>
      <c r="D59" s="26"/>
      <c r="E59" s="27"/>
      <c r="F59" s="38">
        <v>0.56</v>
      </c>
      <c r="G59" s="26"/>
      <c r="H59" s="38">
        <v>0.29</v>
      </c>
      <c r="I59" s="38">
        <v>0.05</v>
      </c>
      <c r="J59" s="38">
        <v>0.1</v>
      </c>
      <c r="K59" s="39"/>
    </row>
    <row r="60" spans="2:11" ht="12.75">
      <c r="B60" s="37" t="s">
        <v>34</v>
      </c>
      <c r="C60" s="37"/>
      <c r="D60" s="26"/>
      <c r="E60" s="27"/>
      <c r="F60" s="38">
        <v>0.59</v>
      </c>
      <c r="G60" s="26"/>
      <c r="H60" s="38">
        <v>0.26</v>
      </c>
      <c r="I60" s="38">
        <v>0.05</v>
      </c>
      <c r="J60" s="38">
        <v>0.1</v>
      </c>
      <c r="K60" s="39"/>
    </row>
    <row r="61" ht="12.75">
      <c r="A61" s="24"/>
    </row>
    <row r="62" ht="12.75">
      <c r="D62" s="16" t="s">
        <v>35</v>
      </c>
    </row>
    <row r="63" ht="12.75">
      <c r="A63" s="24" t="s">
        <v>36</v>
      </c>
    </row>
  </sheetData>
  <sheetProtection/>
  <mergeCells count="9">
    <mergeCell ref="A53:K53"/>
    <mergeCell ref="H10:K10"/>
    <mergeCell ref="A8:K8"/>
    <mergeCell ref="A5:K5"/>
    <mergeCell ref="A1:K1"/>
    <mergeCell ref="A4:K4"/>
    <mergeCell ref="A3:K3"/>
    <mergeCell ref="A2:K2"/>
    <mergeCell ref="A31:K31"/>
  </mergeCells>
  <hyperlinks>
    <hyperlink ref="A4" r:id="rId1" display="www.tiogadowns.com"/>
  </hyperlinks>
  <printOptions horizontalCentered="1"/>
  <pageMargins left="0.25" right="0.25" top="0.75" bottom="0.5" header="0.5" footer="0.5"/>
  <pageSetup fitToHeight="1" fitToWidth="1" horizontalDpi="600" verticalDpi="600" orientation="portrait" scale="7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49">
      <selection activeCell="A1" sqref="A1:M1"/>
    </sheetView>
  </sheetViews>
  <sheetFormatPr defaultColWidth="9.140625" defaultRowHeight="12.75"/>
  <cols>
    <col min="1" max="1" width="9.28125" style="3" customWidth="1"/>
    <col min="2" max="2" width="14.140625" style="16" customWidth="1"/>
    <col min="3" max="3" width="11.00390625" style="16" customWidth="1"/>
    <col min="4" max="4" width="13.57421875" style="16" customWidth="1"/>
    <col min="5" max="5" width="11.7109375" style="16" bestFit="1" customWidth="1"/>
    <col min="6" max="6" width="8.140625" style="17" customWidth="1"/>
    <col min="7" max="7" width="9.00390625" style="16" customWidth="1"/>
    <col min="8" max="8" width="1.421875" style="16" customWidth="1"/>
    <col min="9" max="9" width="12.00390625" style="16" customWidth="1"/>
    <col min="10" max="10" width="12.140625" style="16" customWidth="1"/>
    <col min="11" max="12" width="12.8515625" style="16" bestFit="1" customWidth="1"/>
    <col min="13" max="13" width="11.00390625" style="16" customWidth="1"/>
    <col min="14" max="14" width="12.7109375" style="0" customWidth="1"/>
  </cols>
  <sheetData>
    <row r="1" spans="1:13" ht="18">
      <c r="A1" s="60" t="s">
        <v>48</v>
      </c>
      <c r="B1" s="60"/>
      <c r="C1" s="60"/>
      <c r="D1" s="60"/>
      <c r="E1" s="60"/>
      <c r="F1" s="60"/>
      <c r="G1" s="60"/>
      <c r="H1" s="60"/>
      <c r="I1" s="60"/>
      <c r="J1" s="60"/>
      <c r="K1" s="60"/>
      <c r="L1" s="60"/>
      <c r="M1" s="60"/>
    </row>
    <row r="2" spans="1:13" ht="15">
      <c r="A2" s="61" t="s">
        <v>0</v>
      </c>
      <c r="B2" s="61"/>
      <c r="C2" s="61"/>
      <c r="D2" s="61"/>
      <c r="E2" s="61"/>
      <c r="F2" s="61"/>
      <c r="G2" s="61"/>
      <c r="H2" s="61"/>
      <c r="I2" s="61"/>
      <c r="J2" s="61"/>
      <c r="K2" s="61"/>
      <c r="L2" s="61"/>
      <c r="M2" s="61"/>
    </row>
    <row r="3" spans="1:13" s="1" customFormat="1" ht="15">
      <c r="A3" s="61" t="s">
        <v>1</v>
      </c>
      <c r="B3" s="61"/>
      <c r="C3" s="61"/>
      <c r="D3" s="61"/>
      <c r="E3" s="61"/>
      <c r="F3" s="61"/>
      <c r="G3" s="61"/>
      <c r="H3" s="61"/>
      <c r="I3" s="61"/>
      <c r="J3" s="61"/>
      <c r="K3" s="61"/>
      <c r="L3" s="61"/>
      <c r="M3" s="61"/>
    </row>
    <row r="4" spans="1:13" s="1" customFormat="1" ht="14.25" customHeight="1">
      <c r="A4" s="62" t="s">
        <v>2</v>
      </c>
      <c r="B4" s="62"/>
      <c r="C4" s="62"/>
      <c r="D4" s="62"/>
      <c r="E4" s="62"/>
      <c r="F4" s="62"/>
      <c r="G4" s="62"/>
      <c r="H4" s="62"/>
      <c r="I4" s="62"/>
      <c r="J4" s="62"/>
      <c r="K4" s="62"/>
      <c r="L4" s="62"/>
      <c r="M4" s="62"/>
    </row>
    <row r="5" spans="1:13" s="1" customFormat="1" ht="14.25">
      <c r="A5" s="63" t="s">
        <v>3</v>
      </c>
      <c r="B5" s="63"/>
      <c r="C5" s="63"/>
      <c r="D5" s="63"/>
      <c r="E5" s="63"/>
      <c r="F5" s="63"/>
      <c r="G5" s="63"/>
      <c r="H5" s="63"/>
      <c r="I5" s="63"/>
      <c r="J5" s="63"/>
      <c r="K5" s="63"/>
      <c r="L5" s="63"/>
      <c r="M5" s="6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64" t="s">
        <v>94</v>
      </c>
      <c r="B8" s="65"/>
      <c r="C8" s="65"/>
      <c r="D8" s="65"/>
      <c r="E8" s="65"/>
      <c r="F8" s="65"/>
      <c r="G8" s="65"/>
      <c r="H8" s="65"/>
      <c r="I8" s="65"/>
      <c r="J8" s="65"/>
      <c r="K8" s="65"/>
      <c r="L8" s="65"/>
      <c r="M8" s="6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67" t="s">
        <v>4</v>
      </c>
      <c r="J10" s="67"/>
      <c r="K10" s="67"/>
      <c r="L10" s="67"/>
      <c r="M10" s="67"/>
    </row>
    <row r="11" spans="1:13" s="1" customFormat="1" ht="12.75">
      <c r="A11" s="3"/>
      <c r="B11" s="5"/>
      <c r="C11" s="10"/>
      <c r="D11" s="5"/>
      <c r="E11" s="5"/>
      <c r="F11" s="6"/>
      <c r="G11" s="5"/>
      <c r="H11" s="5"/>
      <c r="I11" s="5"/>
      <c r="J11" s="5"/>
      <c r="K11" s="5"/>
      <c r="L11" s="5"/>
      <c r="M11" s="5"/>
    </row>
    <row r="12" spans="1:13" s="12" customFormat="1" ht="12">
      <c r="A12" s="9"/>
      <c r="B12" s="10" t="s">
        <v>5</v>
      </c>
      <c r="C12" s="15" t="s">
        <v>57</v>
      </c>
      <c r="D12" s="10" t="s">
        <v>5</v>
      </c>
      <c r="E12" s="10"/>
      <c r="F12" s="11" t="s">
        <v>6</v>
      </c>
      <c r="G12" s="10" t="s">
        <v>7</v>
      </c>
      <c r="H12" s="10"/>
      <c r="I12" s="10" t="s">
        <v>8</v>
      </c>
      <c r="J12" s="10" t="s">
        <v>72</v>
      </c>
      <c r="K12" s="10" t="s">
        <v>9</v>
      </c>
      <c r="L12" s="10" t="s">
        <v>73</v>
      </c>
      <c r="M12" s="10" t="s">
        <v>42</v>
      </c>
    </row>
    <row r="13" spans="1:13" s="12" customFormat="1" ht="12">
      <c r="A13" s="13" t="s">
        <v>10</v>
      </c>
      <c r="B13" s="8" t="s">
        <v>11</v>
      </c>
      <c r="C13" s="8" t="s">
        <v>18</v>
      </c>
      <c r="D13" s="8" t="s">
        <v>12</v>
      </c>
      <c r="E13" s="8" t="s">
        <v>13</v>
      </c>
      <c r="F13" s="14" t="s">
        <v>14</v>
      </c>
      <c r="G13" s="8" t="s">
        <v>15</v>
      </c>
      <c r="H13" s="15"/>
      <c r="I13" s="8" t="s">
        <v>16</v>
      </c>
      <c r="J13" s="8" t="s">
        <v>17</v>
      </c>
      <c r="K13" s="8" t="s">
        <v>18</v>
      </c>
      <c r="L13" s="8" t="s">
        <v>74</v>
      </c>
      <c r="M13" s="8" t="s">
        <v>43</v>
      </c>
    </row>
    <row r="15" spans="1:13" ht="12.75">
      <c r="A15" s="3">
        <v>42095</v>
      </c>
      <c r="B15" s="16">
        <v>69580718.14</v>
      </c>
      <c r="C15" s="16">
        <v>683072.31</v>
      </c>
      <c r="D15" s="16">
        <f aca="true" t="shared" si="0" ref="D15:D26">B15-C15-E15</f>
        <v>63873517.48</v>
      </c>
      <c r="E15" s="16">
        <v>5024128.35</v>
      </c>
      <c r="F15" s="17">
        <v>802</v>
      </c>
      <c r="G15" s="16">
        <f>E15/F15/30</f>
        <v>208.8166396508728</v>
      </c>
      <c r="I15" s="16">
        <v>1858927.48</v>
      </c>
      <c r="J15" s="16">
        <v>1959410.05</v>
      </c>
      <c r="K15" s="16">
        <v>502412.83</v>
      </c>
      <c r="L15" s="16">
        <v>502412.83</v>
      </c>
      <c r="M15" s="16">
        <v>200965.15</v>
      </c>
    </row>
    <row r="16" spans="1:13" ht="12.75">
      <c r="A16" s="3">
        <v>42125</v>
      </c>
      <c r="B16" s="16">
        <v>72302667.78</v>
      </c>
      <c r="C16" s="16">
        <v>809486.27</v>
      </c>
      <c r="D16" s="16">
        <f t="shared" si="0"/>
        <v>66365549.410000004</v>
      </c>
      <c r="E16" s="16">
        <v>5127632.1</v>
      </c>
      <c r="F16" s="17">
        <v>802</v>
      </c>
      <c r="G16" s="16">
        <f>E16/F16/31</f>
        <v>206.24374949722466</v>
      </c>
      <c r="I16" s="16">
        <v>1897223.86</v>
      </c>
      <c r="J16" s="16">
        <v>1999776.55</v>
      </c>
      <c r="K16" s="16">
        <v>512763.22</v>
      </c>
      <c r="L16" s="16">
        <v>512763.22</v>
      </c>
      <c r="M16" s="16">
        <v>205105.3</v>
      </c>
    </row>
    <row r="17" spans="1:13" ht="12.75">
      <c r="A17" s="3">
        <v>42156</v>
      </c>
      <c r="B17" s="16">
        <v>66890473.47</v>
      </c>
      <c r="C17" s="16">
        <v>665941.68</v>
      </c>
      <c r="D17" s="16">
        <f t="shared" si="0"/>
        <v>61518118.56</v>
      </c>
      <c r="E17" s="16">
        <v>4706413.23</v>
      </c>
      <c r="F17" s="17">
        <v>802</v>
      </c>
      <c r="G17" s="16">
        <f>E17/F17/30</f>
        <v>195.6115224438903</v>
      </c>
      <c r="I17" s="16">
        <v>1741372.86</v>
      </c>
      <c r="J17" s="16">
        <v>1835501.16</v>
      </c>
      <c r="K17" s="16">
        <v>470641.34</v>
      </c>
      <c r="L17" s="16">
        <v>470641.34</v>
      </c>
      <c r="M17" s="16">
        <v>188256.52</v>
      </c>
    </row>
    <row r="18" spans="1:13" ht="12.75">
      <c r="A18" s="3">
        <v>42186</v>
      </c>
      <c r="B18" s="16">
        <v>71383712.51</v>
      </c>
      <c r="C18" s="16">
        <v>755072.31</v>
      </c>
      <c r="D18" s="16">
        <f t="shared" si="0"/>
        <v>65340621.550000004</v>
      </c>
      <c r="E18" s="16">
        <v>5288018.65</v>
      </c>
      <c r="F18" s="17">
        <v>802</v>
      </c>
      <c r="G18" s="16">
        <f>E18/F18/31</f>
        <v>212.69482141420644</v>
      </c>
      <c r="I18" s="16">
        <v>1956566.9</v>
      </c>
      <c r="J18" s="16">
        <v>2062327.27</v>
      </c>
      <c r="K18" s="16">
        <v>528801.89</v>
      </c>
      <c r="L18" s="16">
        <v>528801.89</v>
      </c>
      <c r="M18" s="16">
        <v>211520.75</v>
      </c>
    </row>
    <row r="19" spans="1:13" ht="12.75">
      <c r="A19" s="3">
        <v>42217</v>
      </c>
      <c r="B19" s="16">
        <v>67742524.98</v>
      </c>
      <c r="C19" s="16">
        <v>700581.08</v>
      </c>
      <c r="D19" s="16">
        <f t="shared" si="0"/>
        <v>62226152.27</v>
      </c>
      <c r="E19" s="16">
        <v>4815791.63</v>
      </c>
      <c r="F19" s="17">
        <v>802</v>
      </c>
      <c r="G19" s="16">
        <f>E19/F19/31</f>
        <v>193.7008941356287</v>
      </c>
      <c r="I19" s="16">
        <v>1781842.92</v>
      </c>
      <c r="J19" s="16">
        <v>1878158.73</v>
      </c>
      <c r="K19" s="16">
        <v>481579.15</v>
      </c>
      <c r="L19" s="16">
        <v>481579.15</v>
      </c>
      <c r="M19" s="16">
        <v>192631.66</v>
      </c>
    </row>
    <row r="20" spans="1:13" ht="12.75">
      <c r="A20" s="3">
        <v>42248</v>
      </c>
      <c r="B20" s="16">
        <v>65773657.84</v>
      </c>
      <c r="C20" s="16">
        <v>624131.4</v>
      </c>
      <c r="D20" s="16">
        <f t="shared" si="0"/>
        <v>60551476.75000001</v>
      </c>
      <c r="E20" s="16">
        <v>4598049.69</v>
      </c>
      <c r="F20" s="17">
        <v>802</v>
      </c>
      <c r="G20" s="16">
        <f>E20/F20/30</f>
        <v>191.10763466334166</v>
      </c>
      <c r="I20" s="16">
        <v>1701278.39</v>
      </c>
      <c r="J20" s="16">
        <v>1793239.39</v>
      </c>
      <c r="K20" s="16">
        <v>459805.01</v>
      </c>
      <c r="L20" s="16">
        <v>459805.01</v>
      </c>
      <c r="M20" s="16">
        <v>183922</v>
      </c>
    </row>
    <row r="21" spans="1:13" ht="12.75">
      <c r="A21" s="3">
        <v>42278</v>
      </c>
      <c r="B21" s="16">
        <v>64934651.09</v>
      </c>
      <c r="C21" s="16">
        <v>675572.51</v>
      </c>
      <c r="D21" s="16">
        <f t="shared" si="0"/>
        <v>59566930.68000001</v>
      </c>
      <c r="E21" s="16">
        <v>4692147.9</v>
      </c>
      <c r="F21" s="17">
        <v>802</v>
      </c>
      <c r="G21" s="16">
        <f>E21/F21/31</f>
        <v>188.72769286461266</v>
      </c>
      <c r="I21" s="16">
        <v>1736094.71</v>
      </c>
      <c r="J21" s="16">
        <v>1829937.68</v>
      </c>
      <c r="K21" s="16">
        <v>469214.79</v>
      </c>
      <c r="L21" s="16">
        <v>469214.79</v>
      </c>
      <c r="M21" s="16">
        <v>187685.92</v>
      </c>
    </row>
    <row r="22" spans="1:13" ht="12.75">
      <c r="A22" s="3">
        <v>42309</v>
      </c>
      <c r="B22" s="16">
        <v>62235430.6</v>
      </c>
      <c r="C22" s="16">
        <v>589562.65</v>
      </c>
      <c r="D22" s="16">
        <f t="shared" si="0"/>
        <v>57102147.54000001</v>
      </c>
      <c r="E22" s="16">
        <v>4543720.41</v>
      </c>
      <c r="F22" s="17">
        <v>800</v>
      </c>
      <c r="G22" s="16">
        <f>E22/F22/30</f>
        <v>189.32168375</v>
      </c>
      <c r="I22" s="16">
        <v>1681176.54</v>
      </c>
      <c r="J22" s="16">
        <v>1772050.98</v>
      </c>
      <c r="K22" s="16">
        <v>454372.06</v>
      </c>
      <c r="L22" s="16">
        <v>454372.06</v>
      </c>
      <c r="M22" s="16">
        <v>181748.82</v>
      </c>
    </row>
    <row r="23" spans="1:13" ht="12.75">
      <c r="A23" s="3">
        <v>42339</v>
      </c>
      <c r="B23" s="16">
        <v>64612708.62</v>
      </c>
      <c r="C23" s="16">
        <v>626690.98</v>
      </c>
      <c r="D23" s="16">
        <f t="shared" si="0"/>
        <v>59328877.31</v>
      </c>
      <c r="E23" s="16">
        <v>4657140.33</v>
      </c>
      <c r="F23" s="17">
        <v>795</v>
      </c>
      <c r="G23" s="16">
        <f>E23/F23/31</f>
        <v>188.9689726110773</v>
      </c>
      <c r="I23" s="16">
        <v>1723141.9</v>
      </c>
      <c r="J23" s="16">
        <v>1816284.74</v>
      </c>
      <c r="K23" s="16">
        <v>465714.05</v>
      </c>
      <c r="L23" s="16">
        <v>465714.05</v>
      </c>
      <c r="M23" s="16">
        <v>186285.62</v>
      </c>
    </row>
    <row r="24" spans="1:13" ht="12.75">
      <c r="A24" s="3">
        <v>42370</v>
      </c>
      <c r="B24" s="16">
        <v>65559726.96</v>
      </c>
      <c r="C24" s="16">
        <v>623653.11</v>
      </c>
      <c r="D24" s="16">
        <f t="shared" si="0"/>
        <v>60437201.28</v>
      </c>
      <c r="E24" s="16">
        <v>4498872.57</v>
      </c>
      <c r="F24" s="17">
        <v>795</v>
      </c>
      <c r="G24" s="16">
        <f>E24/F24/31</f>
        <v>182.54707121119904</v>
      </c>
      <c r="I24" s="16">
        <v>1664582.85</v>
      </c>
      <c r="J24" s="16">
        <v>1754560.3</v>
      </c>
      <c r="K24" s="16">
        <v>449887.29</v>
      </c>
      <c r="L24" s="16">
        <v>449887.29</v>
      </c>
      <c r="M24" s="16">
        <v>179954.9</v>
      </c>
    </row>
    <row r="25" spans="1:13" ht="12.75">
      <c r="A25" s="3">
        <v>42401</v>
      </c>
      <c r="B25" s="16">
        <v>71076705.8</v>
      </c>
      <c r="C25" s="16">
        <v>673280</v>
      </c>
      <c r="D25" s="16">
        <f t="shared" si="0"/>
        <v>65407844.61</v>
      </c>
      <c r="E25" s="16">
        <v>4995581.19</v>
      </c>
      <c r="F25" s="17">
        <v>795</v>
      </c>
      <c r="G25" s="16">
        <f>E25/F25/29</f>
        <v>216.6810318802863</v>
      </c>
      <c r="I25" s="16">
        <v>2172589.62</v>
      </c>
      <c r="J25" s="16">
        <v>1624052.09</v>
      </c>
      <c r="K25" s="16">
        <v>499558.14</v>
      </c>
      <c r="L25" s="16">
        <v>499558.14</v>
      </c>
      <c r="M25" s="16">
        <v>199823.22</v>
      </c>
    </row>
    <row r="26" spans="1:13" ht="12.75">
      <c r="A26" s="3">
        <v>42430</v>
      </c>
      <c r="B26" s="16">
        <v>75431300</v>
      </c>
      <c r="C26" s="16">
        <v>672323</v>
      </c>
      <c r="D26" s="16">
        <f t="shared" si="0"/>
        <v>69728229</v>
      </c>
      <c r="E26" s="16">
        <v>5030748</v>
      </c>
      <c r="F26" s="17">
        <v>795</v>
      </c>
      <c r="G26" s="16">
        <f>E26/F26/31</f>
        <v>204.12854534388313</v>
      </c>
      <c r="I26" s="16">
        <v>2414759</v>
      </c>
      <c r="J26" s="16">
        <v>1408609</v>
      </c>
      <c r="K26" s="16">
        <v>503075</v>
      </c>
      <c r="L26" s="16">
        <v>503075</v>
      </c>
      <c r="M26" s="16">
        <v>201230</v>
      </c>
    </row>
    <row r="27" spans="1:13" ht="13.5" thickBot="1">
      <c r="A27" s="3" t="s">
        <v>19</v>
      </c>
      <c r="B27" s="18">
        <f>SUM(B15:B26)</f>
        <v>817524277.7900001</v>
      </c>
      <c r="C27" s="18">
        <f>SUM(C15:C26)</f>
        <v>8099367.300000002</v>
      </c>
      <c r="D27" s="18">
        <f>SUM(D15:D26)</f>
        <v>751446666.4399999</v>
      </c>
      <c r="E27" s="18">
        <f>SUM(E15:E26)</f>
        <v>57978244.04999999</v>
      </c>
      <c r="I27" s="18">
        <f>SUM(I15:I26)</f>
        <v>22329557.03</v>
      </c>
      <c r="J27" s="18">
        <f>SUM(J15:J26)</f>
        <v>21733907.94</v>
      </c>
      <c r="K27" s="18">
        <f>SUM(K15:K26)</f>
        <v>5797824.7700000005</v>
      </c>
      <c r="L27" s="18">
        <f>SUM(L15:L26)</f>
        <v>5797824.7700000005</v>
      </c>
      <c r="M27" s="18">
        <f>SUM(M15:M26)</f>
        <v>2319129.86</v>
      </c>
    </row>
    <row r="28" spans="2:13" ht="10.5" customHeight="1" thickTop="1">
      <c r="B28" s="19"/>
      <c r="C28" s="19"/>
      <c r="D28" s="19"/>
      <c r="E28" s="19"/>
      <c r="I28" s="19"/>
      <c r="J28" s="19"/>
      <c r="K28" s="19"/>
      <c r="L28" s="19"/>
      <c r="M28" s="19"/>
    </row>
    <row r="29" spans="1:13" s="22" customFormat="1" ht="12.75">
      <c r="A29" s="20"/>
      <c r="B29" s="21"/>
      <c r="C29" s="21">
        <f>C27/B27</f>
        <v>0.009907188716027967</v>
      </c>
      <c r="D29" s="21">
        <f>D27/B27</f>
        <v>0.9191735179674093</v>
      </c>
      <c r="E29" s="21">
        <f>E27/B27</f>
        <v>0.07091929331656256</v>
      </c>
      <c r="I29" s="21">
        <f>I27/$E$27</f>
        <v>0.3851368284065858</v>
      </c>
      <c r="J29" s="21">
        <f>J27/$E$27</f>
        <v>0.37486316283150706</v>
      </c>
      <c r="K29" s="21">
        <f>K27/$E$27</f>
        <v>0.10000000629546492</v>
      </c>
      <c r="L29" s="21">
        <f>L27/$E$27</f>
        <v>0.10000000629546492</v>
      </c>
      <c r="M29" s="21">
        <f>M27/$E$27</f>
        <v>0.04000000169028921</v>
      </c>
    </row>
    <row r="31" spans="1:13" s="23" customFormat="1" ht="12.75">
      <c r="A31" s="64" t="s">
        <v>20</v>
      </c>
      <c r="B31" s="65"/>
      <c r="C31" s="65"/>
      <c r="D31" s="65"/>
      <c r="E31" s="65"/>
      <c r="F31" s="65"/>
      <c r="G31" s="65"/>
      <c r="H31" s="65"/>
      <c r="I31" s="65"/>
      <c r="J31" s="65"/>
      <c r="K31" s="65"/>
      <c r="L31" s="65"/>
      <c r="M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87</v>
      </c>
      <c r="B36" s="26"/>
      <c r="C36" s="26" t="s">
        <v>51</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22</v>
      </c>
      <c r="B38" s="42"/>
      <c r="C38" s="43" t="s">
        <v>91</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24</v>
      </c>
      <c r="B40" s="42"/>
      <c r="C40" s="42" t="s">
        <v>52</v>
      </c>
      <c r="D40" s="46"/>
      <c r="E40" s="47"/>
      <c r="F40" s="42"/>
      <c r="G40" s="42"/>
      <c r="H40" s="42"/>
      <c r="I40" s="42"/>
      <c r="J40" s="42"/>
      <c r="K40" s="42"/>
      <c r="L40" s="42"/>
    </row>
    <row r="41" spans="1:12" s="45" customFormat="1" ht="12.75">
      <c r="A41" s="41"/>
      <c r="B41" s="42"/>
      <c r="C41" s="42" t="s">
        <v>53</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27</v>
      </c>
      <c r="B43" s="42"/>
      <c r="C43" s="42" t="s">
        <v>28</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65</v>
      </c>
      <c r="B45" s="42"/>
      <c r="C45" s="42" t="s">
        <v>68</v>
      </c>
      <c r="D45" s="46"/>
      <c r="E45" s="47"/>
      <c r="F45" s="42"/>
      <c r="G45" s="42"/>
      <c r="H45" s="42"/>
      <c r="I45" s="42"/>
      <c r="J45" s="42"/>
      <c r="K45" s="42"/>
      <c r="L45" s="42"/>
    </row>
    <row r="46" spans="1:12" s="45" customFormat="1" ht="12.75">
      <c r="A46" s="41"/>
      <c r="B46" s="42"/>
      <c r="C46" s="42" t="s">
        <v>75</v>
      </c>
      <c r="D46" s="46"/>
      <c r="E46" s="47"/>
      <c r="F46" s="42"/>
      <c r="G46" s="42"/>
      <c r="H46" s="42"/>
      <c r="I46" s="42"/>
      <c r="J46" s="42"/>
      <c r="K46" s="42"/>
      <c r="L46" s="42"/>
    </row>
    <row r="47" spans="1:12" s="45" customFormat="1" ht="12.75">
      <c r="A47" s="41"/>
      <c r="B47" s="42"/>
      <c r="C47" s="42" t="s">
        <v>76</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29</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77</v>
      </c>
      <c r="B52" s="42"/>
      <c r="C52" s="42" t="s">
        <v>70</v>
      </c>
      <c r="D52" s="46"/>
      <c r="E52" s="47"/>
      <c r="F52" s="42"/>
      <c r="G52" s="42"/>
      <c r="H52" s="42"/>
      <c r="I52" s="42"/>
      <c r="J52" s="42"/>
      <c r="K52" s="42"/>
      <c r="L52" s="42"/>
    </row>
    <row r="53" spans="1:12" s="45" customFormat="1" ht="12.75">
      <c r="A53" s="48"/>
      <c r="B53" s="42"/>
      <c r="C53" s="42" t="s">
        <v>71</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44</v>
      </c>
      <c r="B55" s="42"/>
      <c r="C55" s="42" t="s">
        <v>54</v>
      </c>
      <c r="D55" s="46"/>
      <c r="E55" s="47"/>
      <c r="F55" s="42"/>
      <c r="G55" s="42"/>
      <c r="H55" s="42"/>
      <c r="I55" s="42"/>
      <c r="J55" s="42"/>
      <c r="K55" s="42"/>
      <c r="L55" s="46"/>
    </row>
    <row r="56" spans="1:12" s="45" customFormat="1" ht="12.75">
      <c r="A56" s="48"/>
      <c r="B56" s="42"/>
      <c r="C56" s="42" t="s">
        <v>55</v>
      </c>
      <c r="D56" s="46"/>
      <c r="E56" s="47"/>
      <c r="F56" s="42"/>
      <c r="G56" s="42"/>
      <c r="H56" s="42"/>
      <c r="I56" s="42"/>
      <c r="J56" s="42"/>
      <c r="K56" s="42"/>
      <c r="L56" s="46"/>
    </row>
    <row r="57" spans="1:12" s="45" customFormat="1" ht="12.75">
      <c r="A57" s="48"/>
      <c r="B57" s="42"/>
      <c r="C57" s="42" t="s">
        <v>56</v>
      </c>
      <c r="D57" s="46"/>
      <c r="E57" s="47"/>
      <c r="F57" s="42"/>
      <c r="G57" s="42"/>
      <c r="H57" s="42"/>
      <c r="I57" s="42"/>
      <c r="J57" s="42"/>
      <c r="K57" s="42"/>
      <c r="L57" s="46"/>
    </row>
    <row r="58" spans="1:13" ht="12.75">
      <c r="A58" s="29"/>
      <c r="B58" s="30"/>
      <c r="C58" s="30"/>
      <c r="D58" s="26"/>
      <c r="E58" s="30"/>
      <c r="F58" s="31"/>
      <c r="G58" s="30"/>
      <c r="H58" s="30"/>
      <c r="I58" s="30"/>
      <c r="J58" s="30"/>
      <c r="K58" s="30"/>
      <c r="L58" s="30"/>
      <c r="M58" s="30"/>
    </row>
    <row r="59" spans="1:13" s="23" customFormat="1" ht="12.75">
      <c r="A59" s="64" t="s">
        <v>30</v>
      </c>
      <c r="B59" s="65"/>
      <c r="C59" s="65"/>
      <c r="D59" s="65"/>
      <c r="E59" s="65"/>
      <c r="F59" s="65"/>
      <c r="G59" s="65"/>
      <c r="H59" s="65"/>
      <c r="I59" s="65"/>
      <c r="J59" s="65"/>
      <c r="K59" s="65"/>
      <c r="L59" s="65"/>
      <c r="M59" s="66"/>
    </row>
    <row r="60" ht="12.75">
      <c r="A60" s="24"/>
    </row>
    <row r="61" spans="1:13" ht="13.5">
      <c r="A61" s="32"/>
      <c r="E61" s="10" t="s">
        <v>8</v>
      </c>
      <c r="F61" s="67" t="s">
        <v>78</v>
      </c>
      <c r="G61" s="67"/>
      <c r="H61" s="67"/>
      <c r="I61" s="67"/>
      <c r="J61" s="10" t="s">
        <v>9</v>
      </c>
      <c r="K61" s="53" t="s">
        <v>73</v>
      </c>
      <c r="L61" s="10" t="s">
        <v>42</v>
      </c>
      <c r="M61" s="34"/>
    </row>
    <row r="62" spans="1:13" ht="12.75">
      <c r="A62" s="35"/>
      <c r="E62" s="8" t="s">
        <v>16</v>
      </c>
      <c r="F62" s="8" t="s">
        <v>79</v>
      </c>
      <c r="G62" s="58" t="s">
        <v>80</v>
      </c>
      <c r="H62" s="57"/>
      <c r="I62" s="8" t="s">
        <v>81</v>
      </c>
      <c r="J62" s="8" t="s">
        <v>18</v>
      </c>
      <c r="K62" s="54" t="s">
        <v>74</v>
      </c>
      <c r="L62" s="8" t="s">
        <v>43</v>
      </c>
      <c r="M62" s="34"/>
    </row>
    <row r="63" spans="2:13" ht="12.75">
      <c r="B63" s="37" t="s">
        <v>31</v>
      </c>
      <c r="C63" s="37"/>
      <c r="E63" s="55">
        <v>0.37</v>
      </c>
      <c r="F63" s="55">
        <v>0.29</v>
      </c>
      <c r="G63" s="59">
        <v>0.0875</v>
      </c>
      <c r="H63" s="56"/>
      <c r="I63" s="55">
        <v>0.0125</v>
      </c>
      <c r="J63" s="55">
        <v>0.1</v>
      </c>
      <c r="K63" s="55">
        <v>0.1</v>
      </c>
      <c r="L63" s="55">
        <v>0.04</v>
      </c>
      <c r="M63" s="39"/>
    </row>
    <row r="64" spans="2:13" ht="12.75">
      <c r="B64" s="37" t="s">
        <v>46</v>
      </c>
      <c r="C64" s="37"/>
      <c r="E64" s="55">
        <v>0.48</v>
      </c>
      <c r="F64" s="55">
        <v>0.18</v>
      </c>
      <c r="G64" s="59">
        <v>0.0875</v>
      </c>
      <c r="H64" s="56"/>
      <c r="I64" s="55">
        <v>0.0125</v>
      </c>
      <c r="J64" s="55">
        <v>0.1</v>
      </c>
      <c r="K64" s="55">
        <v>0.1</v>
      </c>
      <c r="L64" s="55">
        <v>0.04</v>
      </c>
      <c r="M64" s="39"/>
    </row>
    <row r="65" spans="2:13" ht="12.75">
      <c r="B65" s="37" t="s">
        <v>47</v>
      </c>
      <c r="C65" s="37"/>
      <c r="E65" s="55">
        <v>0.52</v>
      </c>
      <c r="F65" s="55">
        <v>0.18</v>
      </c>
      <c r="G65" s="59">
        <v>0.0875</v>
      </c>
      <c r="H65" s="56"/>
      <c r="I65" s="55">
        <v>0.0125</v>
      </c>
      <c r="J65" s="55">
        <v>0.1</v>
      </c>
      <c r="K65" s="55">
        <v>0.1</v>
      </c>
      <c r="L65" s="55">
        <v>0</v>
      </c>
      <c r="M65" s="39"/>
    </row>
    <row r="66" spans="2:13" ht="12.75">
      <c r="B66" s="37" t="s">
        <v>33</v>
      </c>
      <c r="C66" s="37"/>
      <c r="E66" s="55">
        <v>0.54</v>
      </c>
      <c r="F66" s="55">
        <v>0.18</v>
      </c>
      <c r="G66" s="59">
        <v>0.0875</v>
      </c>
      <c r="H66" s="56"/>
      <c r="I66" s="55">
        <v>0.0125</v>
      </c>
      <c r="J66" s="55">
        <v>0.08</v>
      </c>
      <c r="K66" s="55">
        <v>0.1</v>
      </c>
      <c r="L66" s="55">
        <v>0</v>
      </c>
      <c r="M66" s="39"/>
    </row>
    <row r="67" spans="2:13" ht="12.75">
      <c r="B67" s="37" t="s">
        <v>34</v>
      </c>
      <c r="C67" s="37"/>
      <c r="E67" s="55">
        <v>0.57</v>
      </c>
      <c r="F67" s="55">
        <v>0.15</v>
      </c>
      <c r="G67" s="59">
        <v>0.0875</v>
      </c>
      <c r="H67" s="56"/>
      <c r="I67" s="55">
        <v>0.0125</v>
      </c>
      <c r="J67" s="55">
        <v>0.08</v>
      </c>
      <c r="K67" s="55">
        <v>0.1</v>
      </c>
      <c r="L67" s="55">
        <v>0</v>
      </c>
      <c r="M67" s="39"/>
    </row>
    <row r="68" ht="12.75">
      <c r="A68" s="24"/>
    </row>
    <row r="69" spans="1:13" s="23" customFormat="1" ht="12.75">
      <c r="A69" s="68" t="s">
        <v>37</v>
      </c>
      <c r="B69" s="69"/>
      <c r="C69" s="69"/>
      <c r="D69" s="69"/>
      <c r="E69" s="69"/>
      <c r="F69" s="69"/>
      <c r="G69" s="69"/>
      <c r="H69" s="69"/>
      <c r="I69" s="69"/>
      <c r="J69" s="69"/>
      <c r="K69" s="69"/>
      <c r="L69" s="69"/>
      <c r="M69" s="70"/>
    </row>
    <row r="70" spans="1:6" ht="12.75">
      <c r="A70" s="24"/>
      <c r="E70"/>
      <c r="F70" s="16"/>
    </row>
    <row r="71" spans="1:13" ht="49.5" customHeight="1">
      <c r="A71" s="71" t="s">
        <v>96</v>
      </c>
      <c r="B71" s="72"/>
      <c r="C71" s="72"/>
      <c r="D71" s="72"/>
      <c r="E71" s="72"/>
      <c r="F71" s="72"/>
      <c r="G71" s="72"/>
      <c r="H71" s="72"/>
      <c r="I71" s="72"/>
      <c r="J71" s="72"/>
      <c r="K71" s="72"/>
      <c r="L71" s="72"/>
      <c r="M71" s="72"/>
    </row>
    <row r="72" spans="1:6" ht="12.75">
      <c r="A72" s="16"/>
      <c r="E72"/>
      <c r="F72" s="16"/>
    </row>
    <row r="73" spans="2:5" ht="12.75">
      <c r="B73" s="24" t="s">
        <v>38</v>
      </c>
      <c r="C73" s="24"/>
      <c r="D73" s="24"/>
      <c r="E73" s="16">
        <v>160845</v>
      </c>
    </row>
    <row r="74" spans="2:5" ht="12.75">
      <c r="B74" s="24" t="s">
        <v>39</v>
      </c>
      <c r="C74" s="24"/>
      <c r="D74" s="24"/>
      <c r="E74" s="16">
        <v>285007</v>
      </c>
    </row>
    <row r="75" spans="2:5" ht="12.75">
      <c r="B75" s="16" t="s">
        <v>35</v>
      </c>
      <c r="E75" s="16" t="s">
        <v>35</v>
      </c>
    </row>
    <row r="76" ht="12.75">
      <c r="A76" s="28" t="s">
        <v>88</v>
      </c>
    </row>
  </sheetData>
  <sheetProtection/>
  <mergeCells count="12">
    <mergeCell ref="A1:M1"/>
    <mergeCell ref="A2:M2"/>
    <mergeCell ref="A3:M3"/>
    <mergeCell ref="A4:M4"/>
    <mergeCell ref="A5:M5"/>
    <mergeCell ref="A8:M8"/>
    <mergeCell ref="I10:M10"/>
    <mergeCell ref="A31:M31"/>
    <mergeCell ref="A59:M59"/>
    <mergeCell ref="F61:I61"/>
    <mergeCell ref="A69:M69"/>
    <mergeCell ref="A71:M71"/>
  </mergeCells>
  <hyperlinks>
    <hyperlink ref="A4" r:id="rId1" display="www.tiogadowns.com"/>
  </hyperlinks>
  <printOptions horizontalCentered="1"/>
  <pageMargins left="0.25" right="0.25" top="0.75" bottom="0.5" header="0.5" footer="0.5"/>
  <pageSetup fitToHeight="1" fitToWidth="1" horizontalDpi="600" verticalDpi="600" orientation="portrait" scale="74"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O29" sqref="O29"/>
    </sheetView>
  </sheetViews>
  <sheetFormatPr defaultColWidth="9.140625" defaultRowHeight="12.75"/>
  <cols>
    <col min="1" max="1" width="9.28125" style="3" customWidth="1"/>
    <col min="2" max="2" width="14.140625" style="16" customWidth="1"/>
    <col min="3" max="3" width="11.00390625" style="16" customWidth="1"/>
    <col min="4" max="4" width="13.57421875" style="16" customWidth="1"/>
    <col min="5" max="5" width="11.7109375" style="16" bestFit="1" customWidth="1"/>
    <col min="6" max="6" width="8.140625" style="17" customWidth="1"/>
    <col min="7" max="7" width="9.00390625" style="16" customWidth="1"/>
    <col min="8" max="8" width="1.421875" style="16" customWidth="1"/>
    <col min="9" max="9" width="12.00390625" style="16" customWidth="1"/>
    <col min="10" max="10" width="12.140625" style="16" customWidth="1"/>
    <col min="11" max="12" width="12.8515625" style="16" bestFit="1" customWidth="1"/>
    <col min="13" max="13" width="11.00390625" style="16" customWidth="1"/>
    <col min="14" max="14" width="12.7109375" style="0" customWidth="1"/>
  </cols>
  <sheetData>
    <row r="1" spans="1:13" ht="18">
      <c r="A1" s="60" t="s">
        <v>48</v>
      </c>
      <c r="B1" s="60"/>
      <c r="C1" s="60"/>
      <c r="D1" s="60"/>
      <c r="E1" s="60"/>
      <c r="F1" s="60"/>
      <c r="G1" s="60"/>
      <c r="H1" s="60"/>
      <c r="I1" s="60"/>
      <c r="J1" s="60"/>
      <c r="K1" s="60"/>
      <c r="L1" s="60"/>
      <c r="M1" s="60"/>
    </row>
    <row r="2" spans="1:13" ht="15">
      <c r="A2" s="61" t="s">
        <v>0</v>
      </c>
      <c r="B2" s="61"/>
      <c r="C2" s="61"/>
      <c r="D2" s="61"/>
      <c r="E2" s="61"/>
      <c r="F2" s="61"/>
      <c r="G2" s="61"/>
      <c r="H2" s="61"/>
      <c r="I2" s="61"/>
      <c r="J2" s="61"/>
      <c r="K2" s="61"/>
      <c r="L2" s="61"/>
      <c r="M2" s="61"/>
    </row>
    <row r="3" spans="1:13" s="1" customFormat="1" ht="15">
      <c r="A3" s="61" t="s">
        <v>1</v>
      </c>
      <c r="B3" s="61"/>
      <c r="C3" s="61"/>
      <c r="D3" s="61"/>
      <c r="E3" s="61"/>
      <c r="F3" s="61"/>
      <c r="G3" s="61"/>
      <c r="H3" s="61"/>
      <c r="I3" s="61"/>
      <c r="J3" s="61"/>
      <c r="K3" s="61"/>
      <c r="L3" s="61"/>
      <c r="M3" s="61"/>
    </row>
    <row r="4" spans="1:13" s="1" customFormat="1" ht="14.25" customHeight="1">
      <c r="A4" s="62" t="s">
        <v>2</v>
      </c>
      <c r="B4" s="62"/>
      <c r="C4" s="62"/>
      <c r="D4" s="62"/>
      <c r="E4" s="62"/>
      <c r="F4" s="62"/>
      <c r="G4" s="62"/>
      <c r="H4" s="62"/>
      <c r="I4" s="62"/>
      <c r="J4" s="62"/>
      <c r="K4" s="62"/>
      <c r="L4" s="62"/>
      <c r="M4" s="62"/>
    </row>
    <row r="5" spans="1:13" s="1" customFormat="1" ht="14.25">
      <c r="A5" s="63" t="s">
        <v>3</v>
      </c>
      <c r="B5" s="63"/>
      <c r="C5" s="63"/>
      <c r="D5" s="63"/>
      <c r="E5" s="63"/>
      <c r="F5" s="63"/>
      <c r="G5" s="63"/>
      <c r="H5" s="63"/>
      <c r="I5" s="63"/>
      <c r="J5" s="63"/>
      <c r="K5" s="63"/>
      <c r="L5" s="63"/>
      <c r="M5" s="6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64" t="s">
        <v>92</v>
      </c>
      <c r="B8" s="65"/>
      <c r="C8" s="65"/>
      <c r="D8" s="65"/>
      <c r="E8" s="65"/>
      <c r="F8" s="65"/>
      <c r="G8" s="65"/>
      <c r="H8" s="65"/>
      <c r="I8" s="65"/>
      <c r="J8" s="65"/>
      <c r="K8" s="65"/>
      <c r="L8" s="65"/>
      <c r="M8" s="6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67" t="s">
        <v>4</v>
      </c>
      <c r="J10" s="67"/>
      <c r="K10" s="67"/>
      <c r="L10" s="67"/>
      <c r="M10" s="67"/>
    </row>
    <row r="11" spans="1:13" s="1" customFormat="1" ht="12.75">
      <c r="A11" s="3"/>
      <c r="B11" s="5"/>
      <c r="C11" s="10"/>
      <c r="D11" s="5"/>
      <c r="E11" s="5"/>
      <c r="F11" s="6"/>
      <c r="G11" s="5"/>
      <c r="H11" s="5"/>
      <c r="I11" s="5"/>
      <c r="J11" s="5"/>
      <c r="K11" s="5"/>
      <c r="L11" s="5"/>
      <c r="M11" s="5"/>
    </row>
    <row r="12" spans="1:13" s="12" customFormat="1" ht="12">
      <c r="A12" s="9"/>
      <c r="B12" s="10" t="s">
        <v>5</v>
      </c>
      <c r="C12" s="15" t="s">
        <v>57</v>
      </c>
      <c r="D12" s="10" t="s">
        <v>5</v>
      </c>
      <c r="E12" s="10"/>
      <c r="F12" s="11" t="s">
        <v>6</v>
      </c>
      <c r="G12" s="10" t="s">
        <v>7</v>
      </c>
      <c r="H12" s="10"/>
      <c r="I12" s="10" t="s">
        <v>8</v>
      </c>
      <c r="J12" s="10" t="s">
        <v>72</v>
      </c>
      <c r="K12" s="10" t="s">
        <v>9</v>
      </c>
      <c r="L12" s="10" t="s">
        <v>73</v>
      </c>
      <c r="M12" s="10" t="s">
        <v>42</v>
      </c>
    </row>
    <row r="13" spans="1:13" s="12" customFormat="1" ht="12">
      <c r="A13" s="13" t="s">
        <v>10</v>
      </c>
      <c r="B13" s="8" t="s">
        <v>11</v>
      </c>
      <c r="C13" s="8" t="s">
        <v>18</v>
      </c>
      <c r="D13" s="8" t="s">
        <v>12</v>
      </c>
      <c r="E13" s="8" t="s">
        <v>13</v>
      </c>
      <c r="F13" s="14" t="s">
        <v>14</v>
      </c>
      <c r="G13" s="8" t="s">
        <v>15</v>
      </c>
      <c r="H13" s="15"/>
      <c r="I13" s="8" t="s">
        <v>16</v>
      </c>
      <c r="J13" s="8" t="s">
        <v>17</v>
      </c>
      <c r="K13" s="8" t="s">
        <v>18</v>
      </c>
      <c r="L13" s="8" t="s">
        <v>74</v>
      </c>
      <c r="M13" s="8" t="s">
        <v>43</v>
      </c>
    </row>
    <row r="15" spans="1:13" ht="12.75">
      <c r="A15" s="3">
        <v>41730</v>
      </c>
      <c r="B15" s="16">
        <v>65508091.76</v>
      </c>
      <c r="C15" s="16">
        <f>495476.97-11505</f>
        <v>483971.97</v>
      </c>
      <c r="D15" s="16">
        <f aca="true" t="shared" si="0" ref="D15:D26">B15-C15-E15</f>
        <v>60128633.61</v>
      </c>
      <c r="E15" s="16">
        <v>4895486.18</v>
      </c>
      <c r="F15" s="17">
        <v>802</v>
      </c>
      <c r="G15" s="16">
        <f>E15/F15/30</f>
        <v>203.46991604322525</v>
      </c>
      <c r="I15" s="16">
        <v>1811329.89</v>
      </c>
      <c r="J15" s="16">
        <v>1909239.62</v>
      </c>
      <c r="K15" s="16">
        <v>489548.62</v>
      </c>
      <c r="L15" s="16">
        <v>489548.62</v>
      </c>
      <c r="M15" s="16">
        <v>195819.44</v>
      </c>
    </row>
    <row r="16" spans="1:13" ht="12.75">
      <c r="A16" s="3">
        <v>41760</v>
      </c>
      <c r="B16" s="16">
        <v>69215498.56</v>
      </c>
      <c r="C16" s="16">
        <f>596729.21-3894.95</f>
        <v>592834.26</v>
      </c>
      <c r="D16" s="16">
        <f t="shared" si="0"/>
        <v>63504903.61</v>
      </c>
      <c r="E16" s="16">
        <v>5117760.69</v>
      </c>
      <c r="F16" s="17">
        <v>802</v>
      </c>
      <c r="G16" s="16">
        <f>E16/F16/31</f>
        <v>205.8467013916821</v>
      </c>
      <c r="I16" s="16">
        <v>1893571.47</v>
      </c>
      <c r="J16" s="16">
        <v>1995926.65</v>
      </c>
      <c r="K16" s="16">
        <v>511776.05</v>
      </c>
      <c r="L16" s="16">
        <v>511776.05</v>
      </c>
      <c r="M16" s="16">
        <v>204710.46</v>
      </c>
    </row>
    <row r="17" spans="1:13" ht="12.75">
      <c r="A17" s="3">
        <v>41791</v>
      </c>
      <c r="B17" s="16">
        <v>61889712.23</v>
      </c>
      <c r="C17" s="16">
        <f>634639.69-7022.8</f>
        <v>627616.8899999999</v>
      </c>
      <c r="D17" s="16">
        <f t="shared" si="0"/>
        <v>56754481.839999996</v>
      </c>
      <c r="E17" s="16">
        <v>4507613.5</v>
      </c>
      <c r="F17" s="17">
        <v>802</v>
      </c>
      <c r="G17" s="16">
        <f>E17/F17/30</f>
        <v>187.34885702410642</v>
      </c>
      <c r="I17" s="16">
        <v>1667817</v>
      </c>
      <c r="J17" s="16">
        <v>1757969.28</v>
      </c>
      <c r="K17" s="16">
        <v>450761.35</v>
      </c>
      <c r="L17" s="16">
        <v>450761.35</v>
      </c>
      <c r="M17" s="16">
        <v>180304.55</v>
      </c>
    </row>
    <row r="18" spans="1:13" ht="12.75">
      <c r="A18" s="3">
        <v>41821</v>
      </c>
      <c r="B18" s="16">
        <v>65746186.48</v>
      </c>
      <c r="C18" s="16">
        <f>664986.49-5024.6</f>
        <v>659961.89</v>
      </c>
      <c r="D18" s="16">
        <f t="shared" si="0"/>
        <v>60296935.29</v>
      </c>
      <c r="E18" s="16">
        <v>4789289.3</v>
      </c>
      <c r="F18" s="17">
        <v>802</v>
      </c>
      <c r="G18" s="16">
        <f>E18/F18/31</f>
        <v>192.63491674040702</v>
      </c>
      <c r="I18" s="16">
        <v>1772037.06</v>
      </c>
      <c r="J18" s="16">
        <v>1867822.81</v>
      </c>
      <c r="K18" s="16">
        <v>478928.93</v>
      </c>
      <c r="L18" s="16">
        <v>478928.93</v>
      </c>
      <c r="M18" s="16">
        <v>191571.58</v>
      </c>
    </row>
    <row r="19" spans="1:13" ht="12.75">
      <c r="A19" s="3">
        <v>41852</v>
      </c>
      <c r="B19" s="16">
        <v>66752320.41</v>
      </c>
      <c r="C19" s="16">
        <f>589792.16-81426</f>
        <v>508366.16000000003</v>
      </c>
      <c r="D19" s="16">
        <f t="shared" si="0"/>
        <v>61116795.2</v>
      </c>
      <c r="E19" s="16">
        <v>5127159.05</v>
      </c>
      <c r="F19" s="17">
        <v>802</v>
      </c>
      <c r="G19" s="16">
        <f>E19/F19/31</f>
        <v>206.2247224680235</v>
      </c>
      <c r="I19" s="16">
        <v>1897048.85</v>
      </c>
      <c r="J19" s="16">
        <v>1999592</v>
      </c>
      <c r="K19" s="16">
        <v>512715.93</v>
      </c>
      <c r="L19" s="16">
        <v>512715.93</v>
      </c>
      <c r="M19" s="16">
        <v>205086.35</v>
      </c>
    </row>
    <row r="20" spans="1:13" ht="12.75">
      <c r="A20" s="3">
        <v>41883</v>
      </c>
      <c r="B20" s="16">
        <v>57636251.63</v>
      </c>
      <c r="C20" s="16">
        <v>540969.81</v>
      </c>
      <c r="D20" s="16">
        <f t="shared" si="0"/>
        <v>52785983.33</v>
      </c>
      <c r="E20" s="16">
        <v>4309298.49</v>
      </c>
      <c r="F20" s="17">
        <v>802</v>
      </c>
      <c r="G20" s="16">
        <f>E20/F20/30</f>
        <v>179.10633790523693</v>
      </c>
      <c r="I20" s="16">
        <v>1594440</v>
      </c>
      <c r="J20" s="16">
        <v>1680626.41</v>
      </c>
      <c r="K20" s="16">
        <v>430929.88</v>
      </c>
      <c r="L20" s="16">
        <v>430929.88</v>
      </c>
      <c r="M20" s="16">
        <v>172371.91</v>
      </c>
    </row>
    <row r="21" spans="1:13" ht="12.75">
      <c r="A21" s="3">
        <v>41913</v>
      </c>
      <c r="B21" s="16">
        <v>63109814.17</v>
      </c>
      <c r="C21" s="16">
        <f>638915.35-48286.95</f>
        <v>590628.4</v>
      </c>
      <c r="D21" s="16">
        <f t="shared" si="0"/>
        <v>57756595.42</v>
      </c>
      <c r="E21" s="16">
        <v>4762590.35</v>
      </c>
      <c r="F21" s="17">
        <v>802</v>
      </c>
      <c r="G21" s="16">
        <f>E21/F21/31</f>
        <v>191.5610308905156</v>
      </c>
      <c r="I21" s="16">
        <v>1762158.41</v>
      </c>
      <c r="J21" s="16">
        <v>1857410.25</v>
      </c>
      <c r="K21" s="16">
        <v>476259.05</v>
      </c>
      <c r="L21" s="16">
        <v>476259.04</v>
      </c>
      <c r="M21" s="16">
        <v>190503.65</v>
      </c>
    </row>
    <row r="22" spans="1:13" ht="12.75">
      <c r="A22" s="3">
        <v>41944</v>
      </c>
      <c r="B22" s="16">
        <v>59254252.89</v>
      </c>
      <c r="C22" s="16">
        <v>628178.37</v>
      </c>
      <c r="D22" s="16">
        <f t="shared" si="0"/>
        <v>54363048.95</v>
      </c>
      <c r="E22" s="16">
        <v>4263025.57</v>
      </c>
      <c r="F22" s="17">
        <v>802</v>
      </c>
      <c r="G22" s="16">
        <f>E22/F22/30</f>
        <v>177.1831076475478</v>
      </c>
      <c r="I22" s="16">
        <v>1577319.46</v>
      </c>
      <c r="J22" s="16">
        <v>1662579.96</v>
      </c>
      <c r="K22" s="16">
        <v>426302.55</v>
      </c>
      <c r="L22" s="16">
        <v>426302.55</v>
      </c>
      <c r="M22" s="16">
        <v>170521.02</v>
      </c>
    </row>
    <row r="23" spans="1:13" ht="12.75">
      <c r="A23" s="3">
        <v>41974</v>
      </c>
      <c r="B23" s="16">
        <v>59149080.42</v>
      </c>
      <c r="C23" s="16">
        <f>588554.68-50914.75</f>
        <v>537639.93</v>
      </c>
      <c r="D23" s="16">
        <f t="shared" si="0"/>
        <v>54219825.88</v>
      </c>
      <c r="E23" s="16">
        <v>4391614.61</v>
      </c>
      <c r="F23" s="17">
        <v>802</v>
      </c>
      <c r="G23" s="16">
        <f>E23/F23/31</f>
        <v>176.639635186228</v>
      </c>
      <c r="I23" s="16">
        <v>1624897.44</v>
      </c>
      <c r="J23" s="16">
        <v>1712729.71</v>
      </c>
      <c r="K23" s="16">
        <v>439161.47</v>
      </c>
      <c r="L23" s="16">
        <v>439161.47</v>
      </c>
      <c r="M23" s="16">
        <v>175664.56</v>
      </c>
    </row>
    <row r="24" spans="1:13" ht="12.75">
      <c r="A24" s="3">
        <v>42005</v>
      </c>
      <c r="B24" s="16">
        <v>58452451.84</v>
      </c>
      <c r="C24" s="16">
        <v>586572.55</v>
      </c>
      <c r="D24" s="16">
        <f t="shared" si="0"/>
        <v>53584442.11000001</v>
      </c>
      <c r="E24" s="16">
        <v>4281437.18</v>
      </c>
      <c r="F24" s="17">
        <v>802</v>
      </c>
      <c r="G24" s="16">
        <f>E24/F24/31</f>
        <v>172.20807577829618</v>
      </c>
      <c r="I24" s="16">
        <v>1584131.75</v>
      </c>
      <c r="J24" s="16">
        <v>1669760.47</v>
      </c>
      <c r="K24" s="16">
        <v>428143.71</v>
      </c>
      <c r="L24" s="16">
        <v>428143.71</v>
      </c>
      <c r="M24" s="16">
        <v>171257.5</v>
      </c>
    </row>
    <row r="25" spans="1:13" ht="12.75">
      <c r="A25" s="3">
        <v>42036</v>
      </c>
      <c r="B25" s="16">
        <v>56846055.73</v>
      </c>
      <c r="C25" s="16">
        <f>530752.04-23569.95</f>
        <v>507182.09</v>
      </c>
      <c r="D25" s="16">
        <f t="shared" si="0"/>
        <v>52153388.17999999</v>
      </c>
      <c r="E25" s="16">
        <v>4185485.46</v>
      </c>
      <c r="F25" s="17">
        <v>802</v>
      </c>
      <c r="G25" s="16">
        <f>E25/F25/28</f>
        <v>186.3860643035269</v>
      </c>
      <c r="I25" s="16">
        <v>1618013.25</v>
      </c>
      <c r="J25" s="16">
        <v>1562955.68</v>
      </c>
      <c r="K25" s="16">
        <v>418548.56</v>
      </c>
      <c r="L25" s="16">
        <v>418548.56</v>
      </c>
      <c r="M25" s="16">
        <v>167419.43</v>
      </c>
    </row>
    <row r="26" spans="1:13" ht="12.75">
      <c r="A26" s="3">
        <v>42064</v>
      </c>
      <c r="B26" s="16">
        <v>67989575.21</v>
      </c>
      <c r="C26" s="16">
        <f>641020.33-21435</f>
        <v>619585.33</v>
      </c>
      <c r="D26" s="16">
        <f t="shared" si="0"/>
        <v>62281906.989999995</v>
      </c>
      <c r="E26" s="16">
        <v>5088082.89</v>
      </c>
      <c r="F26" s="17">
        <v>802</v>
      </c>
      <c r="G26" s="16">
        <f>E26/F26/31</f>
        <v>204.6530001608881</v>
      </c>
      <c r="I26" s="16">
        <v>2442279.76</v>
      </c>
      <c r="J26" s="16">
        <v>1424663.22</v>
      </c>
      <c r="K26" s="16">
        <v>508808.33</v>
      </c>
      <c r="L26" s="16">
        <v>508808.33</v>
      </c>
      <c r="M26" s="16">
        <v>203523.34</v>
      </c>
    </row>
    <row r="27" spans="1:13" ht="13.5" thickBot="1">
      <c r="A27" s="3" t="s">
        <v>19</v>
      </c>
      <c r="B27" s="18">
        <f>SUM(B15:B26)</f>
        <v>751549291.33</v>
      </c>
      <c r="C27" s="18">
        <f>SUM(C15:C26)</f>
        <v>6883507.649999999</v>
      </c>
      <c r="D27" s="18">
        <f>SUM(D15:D26)</f>
        <v>688946940.41</v>
      </c>
      <c r="E27" s="18">
        <f>SUM(E15:E26)</f>
        <v>55718843.27</v>
      </c>
      <c r="I27" s="18">
        <f>SUM(I15:I26)</f>
        <v>21245044.339999996</v>
      </c>
      <c r="J27" s="18">
        <f>SUM(J15:J26)</f>
        <v>21101276.06</v>
      </c>
      <c r="K27" s="18">
        <f>SUM(K15:K26)</f>
        <v>5571884.429999999</v>
      </c>
      <c r="L27" s="18">
        <f>SUM(L15:L26)</f>
        <v>5571884.419999999</v>
      </c>
      <c r="M27" s="18">
        <f>SUM(M15:M26)</f>
        <v>2228753.7899999996</v>
      </c>
    </row>
    <row r="28" spans="2:13" ht="10.5" customHeight="1" thickTop="1">
      <c r="B28" s="19"/>
      <c r="C28" s="19"/>
      <c r="D28" s="19"/>
      <c r="E28" s="19"/>
      <c r="I28" s="19"/>
      <c r="J28" s="19"/>
      <c r="K28" s="19"/>
      <c r="L28" s="19"/>
      <c r="M28" s="19"/>
    </row>
    <row r="29" spans="1:13" s="22" customFormat="1" ht="12.75">
      <c r="A29" s="20"/>
      <c r="B29" s="21"/>
      <c r="C29" s="21">
        <f>C27/B27</f>
        <v>0.009159090068222152</v>
      </c>
      <c r="D29" s="21">
        <f>D27/B27</f>
        <v>0.9167022687105272</v>
      </c>
      <c r="E29" s="21">
        <f>E27/B27</f>
        <v>0.07413864122125058</v>
      </c>
      <c r="I29" s="21">
        <f>I27/$E$27</f>
        <v>0.3812901182648689</v>
      </c>
      <c r="J29" s="21">
        <f>J27/$E$27</f>
        <v>0.37870987302712533</v>
      </c>
      <c r="K29" s="21">
        <f>K27/$E$27</f>
        <v>0.10000000184856671</v>
      </c>
      <c r="L29" s="21">
        <f>L27/$E$27</f>
        <v>0.10000000166909422</v>
      </c>
      <c r="M29" s="21">
        <f>M27/$E$27</f>
        <v>0.040000001062477177</v>
      </c>
    </row>
    <row r="31" spans="1:13" s="23" customFormat="1" ht="12.75">
      <c r="A31" s="64" t="s">
        <v>20</v>
      </c>
      <c r="B31" s="65"/>
      <c r="C31" s="65"/>
      <c r="D31" s="65"/>
      <c r="E31" s="65"/>
      <c r="F31" s="65"/>
      <c r="G31" s="65"/>
      <c r="H31" s="65"/>
      <c r="I31" s="65"/>
      <c r="J31" s="65"/>
      <c r="K31" s="65"/>
      <c r="L31" s="65"/>
      <c r="M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87</v>
      </c>
      <c r="B36" s="26"/>
      <c r="C36" s="26" t="s">
        <v>51</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22</v>
      </c>
      <c r="B38" s="42"/>
      <c r="C38" s="43" t="s">
        <v>91</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24</v>
      </c>
      <c r="B40" s="42"/>
      <c r="C40" s="42" t="s">
        <v>52</v>
      </c>
      <c r="D40" s="46"/>
      <c r="E40" s="47"/>
      <c r="F40" s="42"/>
      <c r="G40" s="42"/>
      <c r="H40" s="42"/>
      <c r="I40" s="42"/>
      <c r="J40" s="42"/>
      <c r="K40" s="42"/>
      <c r="L40" s="42"/>
    </row>
    <row r="41" spans="1:12" s="45" customFormat="1" ht="12.75">
      <c r="A41" s="41"/>
      <c r="B41" s="42"/>
      <c r="C41" s="42" t="s">
        <v>53</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27</v>
      </c>
      <c r="B43" s="42"/>
      <c r="C43" s="42" t="s">
        <v>28</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65</v>
      </c>
      <c r="B45" s="42"/>
      <c r="C45" s="42" t="s">
        <v>68</v>
      </c>
      <c r="D45" s="46"/>
      <c r="E45" s="47"/>
      <c r="F45" s="42"/>
      <c r="G45" s="42"/>
      <c r="H45" s="42"/>
      <c r="I45" s="42"/>
      <c r="J45" s="42"/>
      <c r="K45" s="42"/>
      <c r="L45" s="42"/>
    </row>
    <row r="46" spans="1:12" s="45" customFormat="1" ht="12.75">
      <c r="A46" s="41"/>
      <c r="B46" s="42"/>
      <c r="C46" s="42" t="s">
        <v>75</v>
      </c>
      <c r="D46" s="46"/>
      <c r="E46" s="47"/>
      <c r="F46" s="42"/>
      <c r="G46" s="42"/>
      <c r="H46" s="42"/>
      <c r="I46" s="42"/>
      <c r="J46" s="42"/>
      <c r="K46" s="42"/>
      <c r="L46" s="42"/>
    </row>
    <row r="47" spans="1:12" s="45" customFormat="1" ht="12.75">
      <c r="A47" s="41"/>
      <c r="B47" s="42"/>
      <c r="C47" s="42" t="s">
        <v>76</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29</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77</v>
      </c>
      <c r="B52" s="42"/>
      <c r="C52" s="42" t="s">
        <v>70</v>
      </c>
      <c r="D52" s="46"/>
      <c r="E52" s="47"/>
      <c r="F52" s="42"/>
      <c r="G52" s="42"/>
      <c r="H52" s="42"/>
      <c r="I52" s="42"/>
      <c r="J52" s="42"/>
      <c r="K52" s="42"/>
      <c r="L52" s="42"/>
    </row>
    <row r="53" spans="1:12" s="45" customFormat="1" ht="12.75">
      <c r="A53" s="48"/>
      <c r="B53" s="42"/>
      <c r="C53" s="42" t="s">
        <v>71</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44</v>
      </c>
      <c r="B55" s="42"/>
      <c r="C55" s="42" t="s">
        <v>54</v>
      </c>
      <c r="D55" s="46"/>
      <c r="E55" s="47"/>
      <c r="F55" s="42"/>
      <c r="G55" s="42"/>
      <c r="H55" s="42"/>
      <c r="I55" s="42"/>
      <c r="J55" s="42"/>
      <c r="K55" s="42"/>
      <c r="L55" s="46"/>
    </row>
    <row r="56" spans="1:12" s="45" customFormat="1" ht="12.75">
      <c r="A56" s="48"/>
      <c r="B56" s="42"/>
      <c r="C56" s="42" t="s">
        <v>55</v>
      </c>
      <c r="D56" s="46"/>
      <c r="E56" s="47"/>
      <c r="F56" s="42"/>
      <c r="G56" s="42"/>
      <c r="H56" s="42"/>
      <c r="I56" s="42"/>
      <c r="J56" s="42"/>
      <c r="K56" s="42"/>
      <c r="L56" s="46"/>
    </row>
    <row r="57" spans="1:12" s="45" customFormat="1" ht="12.75">
      <c r="A57" s="48"/>
      <c r="B57" s="42"/>
      <c r="C57" s="42" t="s">
        <v>56</v>
      </c>
      <c r="D57" s="46"/>
      <c r="E57" s="47"/>
      <c r="F57" s="42"/>
      <c r="G57" s="42"/>
      <c r="H57" s="42"/>
      <c r="I57" s="42"/>
      <c r="J57" s="42"/>
      <c r="K57" s="42"/>
      <c r="L57" s="46"/>
    </row>
    <row r="58" spans="1:13" ht="12.75">
      <c r="A58" s="29"/>
      <c r="B58" s="30"/>
      <c r="C58" s="30"/>
      <c r="D58" s="26"/>
      <c r="E58" s="30"/>
      <c r="F58" s="31"/>
      <c r="G58" s="30"/>
      <c r="H58" s="30"/>
      <c r="I58" s="30"/>
      <c r="J58" s="30"/>
      <c r="K58" s="30"/>
      <c r="L58" s="30"/>
      <c r="M58" s="30"/>
    </row>
    <row r="59" spans="1:13" s="23" customFormat="1" ht="12.75">
      <c r="A59" s="64" t="s">
        <v>30</v>
      </c>
      <c r="B59" s="65"/>
      <c r="C59" s="65"/>
      <c r="D59" s="65"/>
      <c r="E59" s="65"/>
      <c r="F59" s="65"/>
      <c r="G59" s="65"/>
      <c r="H59" s="65"/>
      <c r="I59" s="65"/>
      <c r="J59" s="65"/>
      <c r="K59" s="65"/>
      <c r="L59" s="65"/>
      <c r="M59" s="66"/>
    </row>
    <row r="60" ht="12.75">
      <c r="A60" s="24"/>
    </row>
    <row r="61" spans="1:13" ht="13.5">
      <c r="A61" s="32"/>
      <c r="E61" s="10" t="s">
        <v>8</v>
      </c>
      <c r="F61" s="67" t="s">
        <v>78</v>
      </c>
      <c r="G61" s="67"/>
      <c r="H61" s="67"/>
      <c r="I61" s="67"/>
      <c r="J61" s="10" t="s">
        <v>9</v>
      </c>
      <c r="K61" s="53" t="s">
        <v>73</v>
      </c>
      <c r="L61" s="10" t="s">
        <v>42</v>
      </c>
      <c r="M61" s="34"/>
    </row>
    <row r="62" spans="1:13" ht="12.75">
      <c r="A62" s="35"/>
      <c r="E62" s="8" t="s">
        <v>16</v>
      </c>
      <c r="F62" s="8" t="s">
        <v>79</v>
      </c>
      <c r="G62" s="58" t="s">
        <v>80</v>
      </c>
      <c r="H62" s="57"/>
      <c r="I62" s="8" t="s">
        <v>81</v>
      </c>
      <c r="J62" s="8" t="s">
        <v>18</v>
      </c>
      <c r="K62" s="54" t="s">
        <v>74</v>
      </c>
      <c r="L62" s="8" t="s">
        <v>43</v>
      </c>
      <c r="M62" s="34"/>
    </row>
    <row r="63" spans="2:13" ht="12.75">
      <c r="B63" s="37" t="s">
        <v>31</v>
      </c>
      <c r="C63" s="37"/>
      <c r="E63" s="55">
        <v>0.37</v>
      </c>
      <c r="F63" s="55">
        <v>0.29</v>
      </c>
      <c r="G63" s="59">
        <v>0.0875</v>
      </c>
      <c r="H63" s="56"/>
      <c r="I63" s="55">
        <v>0.0125</v>
      </c>
      <c r="J63" s="55">
        <v>0.1</v>
      </c>
      <c r="K63" s="55">
        <v>0.1</v>
      </c>
      <c r="L63" s="55">
        <v>0.04</v>
      </c>
      <c r="M63" s="39"/>
    </row>
    <row r="64" spans="2:13" ht="12.75">
      <c r="B64" s="37" t="s">
        <v>46</v>
      </c>
      <c r="C64" s="37"/>
      <c r="E64" s="55">
        <v>0.48</v>
      </c>
      <c r="F64" s="55">
        <v>0.18</v>
      </c>
      <c r="G64" s="59">
        <v>0.0875</v>
      </c>
      <c r="H64" s="56"/>
      <c r="I64" s="55">
        <v>0.0125</v>
      </c>
      <c r="J64" s="55">
        <v>0.1</v>
      </c>
      <c r="K64" s="55">
        <v>0.1</v>
      </c>
      <c r="L64" s="55">
        <v>0.04</v>
      </c>
      <c r="M64" s="39"/>
    </row>
    <row r="65" spans="2:13" ht="12.75">
      <c r="B65" s="37" t="s">
        <v>47</v>
      </c>
      <c r="C65" s="37"/>
      <c r="E65" s="55">
        <v>0.52</v>
      </c>
      <c r="F65" s="55">
        <v>0.18</v>
      </c>
      <c r="G65" s="59">
        <v>0.0875</v>
      </c>
      <c r="H65" s="56"/>
      <c r="I65" s="55">
        <v>0.0125</v>
      </c>
      <c r="J65" s="55">
        <v>0.1</v>
      </c>
      <c r="K65" s="55">
        <v>0.1</v>
      </c>
      <c r="L65" s="55">
        <v>0</v>
      </c>
      <c r="M65" s="39"/>
    </row>
    <row r="66" spans="2:13" ht="12.75">
      <c r="B66" s="37" t="s">
        <v>33</v>
      </c>
      <c r="C66" s="37"/>
      <c r="E66" s="55">
        <v>0.54</v>
      </c>
      <c r="F66" s="55">
        <v>0.18</v>
      </c>
      <c r="G66" s="59">
        <v>0.0875</v>
      </c>
      <c r="H66" s="56"/>
      <c r="I66" s="55">
        <v>0.0125</v>
      </c>
      <c r="J66" s="55">
        <v>0.08</v>
      </c>
      <c r="K66" s="55">
        <v>0.1</v>
      </c>
      <c r="L66" s="55">
        <v>0</v>
      </c>
      <c r="M66" s="39"/>
    </row>
    <row r="67" spans="2:13" ht="12.75">
      <c r="B67" s="37" t="s">
        <v>34</v>
      </c>
      <c r="C67" s="37"/>
      <c r="E67" s="55">
        <v>0.57</v>
      </c>
      <c r="F67" s="55">
        <v>0.15</v>
      </c>
      <c r="G67" s="59">
        <v>0.0875</v>
      </c>
      <c r="H67" s="56"/>
      <c r="I67" s="55">
        <v>0.0125</v>
      </c>
      <c r="J67" s="55">
        <v>0.08</v>
      </c>
      <c r="K67" s="55">
        <v>0.1</v>
      </c>
      <c r="L67" s="55">
        <v>0</v>
      </c>
      <c r="M67" s="39"/>
    </row>
    <row r="68" ht="12.75">
      <c r="A68" s="24"/>
    </row>
    <row r="69" spans="1:13" s="23" customFormat="1" ht="12.75">
      <c r="A69" s="68" t="s">
        <v>37</v>
      </c>
      <c r="B69" s="69"/>
      <c r="C69" s="69"/>
      <c r="D69" s="69"/>
      <c r="E69" s="69"/>
      <c r="F69" s="69"/>
      <c r="G69" s="69"/>
      <c r="H69" s="69"/>
      <c r="I69" s="69"/>
      <c r="J69" s="69"/>
      <c r="K69" s="69"/>
      <c r="L69" s="69"/>
      <c r="M69" s="70"/>
    </row>
    <row r="70" spans="1:6" ht="12.75">
      <c r="A70" s="24"/>
      <c r="E70"/>
      <c r="F70" s="16"/>
    </row>
    <row r="71" spans="1:13" ht="49.5" customHeight="1">
      <c r="A71" s="71" t="s">
        <v>93</v>
      </c>
      <c r="B71" s="72"/>
      <c r="C71" s="72"/>
      <c r="D71" s="72"/>
      <c r="E71" s="72"/>
      <c r="F71" s="72"/>
      <c r="G71" s="72"/>
      <c r="H71" s="72"/>
      <c r="I71" s="72"/>
      <c r="J71" s="72"/>
      <c r="K71" s="72"/>
      <c r="L71" s="72"/>
      <c r="M71" s="72"/>
    </row>
    <row r="72" spans="1:6" ht="12.75">
      <c r="A72" s="16"/>
      <c r="E72"/>
      <c r="F72" s="16"/>
    </row>
    <row r="73" spans="2:5" ht="12.75">
      <c r="B73" s="24" t="s">
        <v>38</v>
      </c>
      <c r="C73" s="24"/>
      <c r="D73" s="24"/>
      <c r="E73" s="16">
        <v>160845</v>
      </c>
    </row>
    <row r="74" spans="2:5" ht="12.75">
      <c r="B74" s="24" t="s">
        <v>39</v>
      </c>
      <c r="C74" s="24"/>
      <c r="D74" s="24"/>
      <c r="E74" s="16">
        <v>285007</v>
      </c>
    </row>
    <row r="75" spans="2:5" ht="12.75">
      <c r="B75" s="16" t="s">
        <v>35</v>
      </c>
      <c r="E75" s="16" t="s">
        <v>35</v>
      </c>
    </row>
    <row r="76" ht="12.75">
      <c r="A76" s="28" t="s">
        <v>88</v>
      </c>
    </row>
  </sheetData>
  <sheetProtection/>
  <mergeCells count="12">
    <mergeCell ref="A1:M1"/>
    <mergeCell ref="A2:M2"/>
    <mergeCell ref="A3:M3"/>
    <mergeCell ref="A4:M4"/>
    <mergeCell ref="A5:M5"/>
    <mergeCell ref="A8:M8"/>
    <mergeCell ref="I10:M10"/>
    <mergeCell ref="A31:M31"/>
    <mergeCell ref="A59:M59"/>
    <mergeCell ref="F61:I61"/>
    <mergeCell ref="A69:M69"/>
    <mergeCell ref="A71:M71"/>
  </mergeCells>
  <hyperlinks>
    <hyperlink ref="A4" r:id="rId1" display="www.tiogadowns.com"/>
  </hyperlinks>
  <printOptions horizontalCentered="1"/>
  <pageMargins left="0.25" right="0.25" top="0.75" bottom="0.5" header="0.5" footer="0.5"/>
  <pageSetup fitToHeight="1" fitToWidth="1" horizontalDpi="600" verticalDpi="600" orientation="portrait" scale="74"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B29" sqref="B29"/>
    </sheetView>
  </sheetViews>
  <sheetFormatPr defaultColWidth="9.140625" defaultRowHeight="12.75"/>
  <cols>
    <col min="1" max="1" width="9.28125" style="3" customWidth="1"/>
    <col min="2" max="2" width="14.140625" style="16" customWidth="1"/>
    <col min="3" max="3" width="11.00390625" style="16" customWidth="1"/>
    <col min="4" max="4" width="13.57421875" style="16" customWidth="1"/>
    <col min="5" max="5" width="11.7109375" style="16" bestFit="1" customWidth="1"/>
    <col min="6" max="6" width="8.140625" style="17" customWidth="1"/>
    <col min="7" max="7" width="9.00390625" style="16" customWidth="1"/>
    <col min="8" max="8" width="1.421875" style="16" customWidth="1"/>
    <col min="9" max="9" width="12.00390625" style="16" customWidth="1"/>
    <col min="10" max="10" width="12.140625" style="16" customWidth="1"/>
    <col min="11" max="12" width="12.8515625" style="16" bestFit="1" customWidth="1"/>
    <col min="13" max="13" width="11.00390625" style="16" customWidth="1"/>
    <col min="14" max="14" width="12.7109375" style="0" customWidth="1"/>
  </cols>
  <sheetData>
    <row r="1" spans="1:13" ht="18">
      <c r="A1" s="60" t="s">
        <v>48</v>
      </c>
      <c r="B1" s="60"/>
      <c r="C1" s="60"/>
      <c r="D1" s="60"/>
      <c r="E1" s="60"/>
      <c r="F1" s="60"/>
      <c r="G1" s="60"/>
      <c r="H1" s="60"/>
      <c r="I1" s="60"/>
      <c r="J1" s="60"/>
      <c r="K1" s="60"/>
      <c r="L1" s="60"/>
      <c r="M1" s="60"/>
    </row>
    <row r="2" spans="1:13" ht="15">
      <c r="A2" s="61" t="s">
        <v>0</v>
      </c>
      <c r="B2" s="61"/>
      <c r="C2" s="61"/>
      <c r="D2" s="61"/>
      <c r="E2" s="61"/>
      <c r="F2" s="61"/>
      <c r="G2" s="61"/>
      <c r="H2" s="61"/>
      <c r="I2" s="61"/>
      <c r="J2" s="61"/>
      <c r="K2" s="61"/>
      <c r="L2" s="61"/>
      <c r="M2" s="61"/>
    </row>
    <row r="3" spans="1:13" s="1" customFormat="1" ht="15">
      <c r="A3" s="61" t="s">
        <v>1</v>
      </c>
      <c r="B3" s="61"/>
      <c r="C3" s="61"/>
      <c r="D3" s="61"/>
      <c r="E3" s="61"/>
      <c r="F3" s="61"/>
      <c r="G3" s="61"/>
      <c r="H3" s="61"/>
      <c r="I3" s="61"/>
      <c r="J3" s="61"/>
      <c r="K3" s="61"/>
      <c r="L3" s="61"/>
      <c r="M3" s="61"/>
    </row>
    <row r="4" spans="1:13" s="1" customFormat="1" ht="14.25" customHeight="1">
      <c r="A4" s="62" t="s">
        <v>2</v>
      </c>
      <c r="B4" s="62"/>
      <c r="C4" s="62"/>
      <c r="D4" s="62"/>
      <c r="E4" s="62"/>
      <c r="F4" s="62"/>
      <c r="G4" s="62"/>
      <c r="H4" s="62"/>
      <c r="I4" s="62"/>
      <c r="J4" s="62"/>
      <c r="K4" s="62"/>
      <c r="L4" s="62"/>
      <c r="M4" s="62"/>
    </row>
    <row r="5" spans="1:13" s="1" customFormat="1" ht="14.25">
      <c r="A5" s="63" t="s">
        <v>3</v>
      </c>
      <c r="B5" s="63"/>
      <c r="C5" s="63"/>
      <c r="D5" s="63"/>
      <c r="E5" s="63"/>
      <c r="F5" s="63"/>
      <c r="G5" s="63"/>
      <c r="H5" s="63"/>
      <c r="I5" s="63"/>
      <c r="J5" s="63"/>
      <c r="K5" s="63"/>
      <c r="L5" s="63"/>
      <c r="M5" s="6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64" t="s">
        <v>89</v>
      </c>
      <c r="B8" s="65"/>
      <c r="C8" s="65"/>
      <c r="D8" s="65"/>
      <c r="E8" s="65"/>
      <c r="F8" s="65"/>
      <c r="G8" s="65"/>
      <c r="H8" s="65"/>
      <c r="I8" s="65"/>
      <c r="J8" s="65"/>
      <c r="K8" s="65"/>
      <c r="L8" s="65"/>
      <c r="M8" s="6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67" t="s">
        <v>4</v>
      </c>
      <c r="J10" s="67"/>
      <c r="K10" s="67"/>
      <c r="L10" s="67"/>
      <c r="M10" s="67"/>
    </row>
    <row r="11" spans="1:13" s="1" customFormat="1" ht="12.75">
      <c r="A11" s="3"/>
      <c r="B11" s="5"/>
      <c r="C11" s="10"/>
      <c r="D11" s="5"/>
      <c r="E11" s="5"/>
      <c r="F11" s="6"/>
      <c r="G11" s="5"/>
      <c r="H11" s="5"/>
      <c r="I11" s="5"/>
      <c r="J11" s="5"/>
      <c r="K11" s="5"/>
      <c r="L11" s="5"/>
      <c r="M11" s="5"/>
    </row>
    <row r="12" spans="1:13" s="12" customFormat="1" ht="12">
      <c r="A12" s="9"/>
      <c r="B12" s="10" t="s">
        <v>5</v>
      </c>
      <c r="C12" s="15" t="s">
        <v>57</v>
      </c>
      <c r="D12" s="10" t="s">
        <v>5</v>
      </c>
      <c r="E12" s="10"/>
      <c r="F12" s="11" t="s">
        <v>6</v>
      </c>
      <c r="G12" s="10" t="s">
        <v>7</v>
      </c>
      <c r="H12" s="10"/>
      <c r="I12" s="10" t="s">
        <v>8</v>
      </c>
      <c r="J12" s="10" t="s">
        <v>72</v>
      </c>
      <c r="K12" s="10" t="s">
        <v>9</v>
      </c>
      <c r="L12" s="10" t="s">
        <v>73</v>
      </c>
      <c r="M12" s="10" t="s">
        <v>42</v>
      </c>
    </row>
    <row r="13" spans="1:13" s="12" customFormat="1" ht="12">
      <c r="A13" s="13" t="s">
        <v>10</v>
      </c>
      <c r="B13" s="8" t="s">
        <v>11</v>
      </c>
      <c r="C13" s="8" t="s">
        <v>18</v>
      </c>
      <c r="D13" s="8" t="s">
        <v>12</v>
      </c>
      <c r="E13" s="8" t="s">
        <v>13</v>
      </c>
      <c r="F13" s="14" t="s">
        <v>14</v>
      </c>
      <c r="G13" s="8" t="s">
        <v>15</v>
      </c>
      <c r="H13" s="15"/>
      <c r="I13" s="8" t="s">
        <v>16</v>
      </c>
      <c r="J13" s="8" t="s">
        <v>17</v>
      </c>
      <c r="K13" s="8" t="s">
        <v>18</v>
      </c>
      <c r="L13" s="8" t="s">
        <v>74</v>
      </c>
      <c r="M13" s="8" t="s">
        <v>43</v>
      </c>
    </row>
    <row r="15" spans="1:13" ht="12.75">
      <c r="A15" s="3">
        <v>41365</v>
      </c>
      <c r="B15" s="16">
        <v>66672535.56</v>
      </c>
      <c r="C15" s="16">
        <f>450733.36-27499</f>
        <v>423234.36</v>
      </c>
      <c r="D15" s="16">
        <f aca="true" t="shared" si="0" ref="D15:D26">B15-C15-E15</f>
        <v>60999255.400000006</v>
      </c>
      <c r="E15" s="16">
        <v>5250045.8</v>
      </c>
      <c r="F15" s="17">
        <v>798.6</v>
      </c>
      <c r="G15" s="16">
        <f>E15/F15/30</f>
        <v>219.13539527506467</v>
      </c>
      <c r="I15" s="16">
        <v>1942516.97</v>
      </c>
      <c r="J15" s="16">
        <v>2047517.87</v>
      </c>
      <c r="K15" s="16">
        <v>525004.58</v>
      </c>
      <c r="L15" s="16">
        <v>525004.58</v>
      </c>
      <c r="M15" s="16">
        <v>210001.85</v>
      </c>
    </row>
    <row r="16" spans="1:13" ht="12.75">
      <c r="A16" s="3">
        <v>41395</v>
      </c>
      <c r="B16" s="16">
        <v>69729473.75</v>
      </c>
      <c r="C16" s="16">
        <f>519494.02-2985</f>
        <v>516509.02</v>
      </c>
      <c r="D16" s="16">
        <f t="shared" si="0"/>
        <v>63732854.92</v>
      </c>
      <c r="E16" s="16">
        <v>5480109.81</v>
      </c>
      <c r="F16" s="17">
        <v>802</v>
      </c>
      <c r="G16" s="16">
        <f>E16/F16/31</f>
        <v>220.42111696565036</v>
      </c>
      <c r="I16" s="16">
        <v>2027640.62</v>
      </c>
      <c r="J16" s="16">
        <v>2137242.85</v>
      </c>
      <c r="K16" s="16">
        <v>548011.01</v>
      </c>
      <c r="L16" s="16">
        <v>548011.01</v>
      </c>
      <c r="M16" s="16">
        <v>219204.41</v>
      </c>
    </row>
    <row r="17" spans="1:13" ht="12.75">
      <c r="A17" s="3">
        <v>41426</v>
      </c>
      <c r="B17" s="16">
        <v>67334351.64</v>
      </c>
      <c r="C17" s="16">
        <f>540022.84-7054.9</f>
        <v>532967.94</v>
      </c>
      <c r="D17" s="16">
        <f t="shared" si="0"/>
        <v>61676719.370000005</v>
      </c>
      <c r="E17" s="16">
        <v>5124664.33</v>
      </c>
      <c r="F17" s="17">
        <v>802</v>
      </c>
      <c r="G17" s="16">
        <f>E17/F17/30</f>
        <v>212.99519243557774</v>
      </c>
      <c r="I17" s="16">
        <v>1896125.79</v>
      </c>
      <c r="J17" s="16">
        <v>1998619.1</v>
      </c>
      <c r="K17" s="16">
        <v>512466.44</v>
      </c>
      <c r="L17" s="16">
        <v>512466.44</v>
      </c>
      <c r="M17" s="16">
        <v>204986.58</v>
      </c>
    </row>
    <row r="18" spans="1:13" ht="12.75">
      <c r="A18" s="3">
        <v>41456</v>
      </c>
      <c r="B18" s="16">
        <v>65966014.05</v>
      </c>
      <c r="C18" s="16">
        <f>557912.93-6105</f>
        <v>551807.93</v>
      </c>
      <c r="D18" s="16">
        <f t="shared" si="0"/>
        <v>60411353.559999995</v>
      </c>
      <c r="E18" s="16">
        <v>5002852.56</v>
      </c>
      <c r="F18" s="17">
        <v>802</v>
      </c>
      <c r="G18" s="16">
        <f>E18/F18/31</f>
        <v>201.22486364733325</v>
      </c>
      <c r="I18" s="16">
        <v>1851055.43</v>
      </c>
      <c r="J18" s="16">
        <v>1951112.49</v>
      </c>
      <c r="K18" s="16">
        <v>500285.27</v>
      </c>
      <c r="L18" s="16">
        <v>500285.27</v>
      </c>
      <c r="M18" s="16">
        <v>200114.1</v>
      </c>
    </row>
    <row r="19" spans="1:13" ht="12.75">
      <c r="A19" s="3">
        <v>41487</v>
      </c>
      <c r="B19" s="16">
        <v>67194366.1</v>
      </c>
      <c r="C19" s="16">
        <f>568135.15-13332.1</f>
        <v>554803.05</v>
      </c>
      <c r="D19" s="16">
        <f t="shared" si="0"/>
        <v>61405572.08</v>
      </c>
      <c r="E19" s="16">
        <v>5233990.97</v>
      </c>
      <c r="F19" s="17">
        <v>802</v>
      </c>
      <c r="G19" s="16">
        <f>E19/F19/31</f>
        <v>210.52171868715308</v>
      </c>
      <c r="I19" s="16">
        <v>1936576.68</v>
      </c>
      <c r="J19" s="16">
        <v>2041256.48</v>
      </c>
      <c r="K19" s="16">
        <v>523399.13</v>
      </c>
      <c r="L19" s="16">
        <v>523399.13</v>
      </c>
      <c r="M19" s="16">
        <v>209359.6</v>
      </c>
    </row>
    <row r="20" spans="1:13" ht="12.75">
      <c r="A20" s="3">
        <v>41518</v>
      </c>
      <c r="B20" s="16">
        <v>63187303.36</v>
      </c>
      <c r="C20" s="16">
        <f>592176.26-12758.17</f>
        <v>579418.09</v>
      </c>
      <c r="D20" s="16">
        <f t="shared" si="0"/>
        <v>57806963.379999995</v>
      </c>
      <c r="E20" s="16">
        <v>4800921.89</v>
      </c>
      <c r="F20" s="17">
        <v>802</v>
      </c>
      <c r="G20" s="16">
        <f>E20/F20/30</f>
        <v>199.53956317539485</v>
      </c>
      <c r="I20" s="16">
        <v>1776341.08</v>
      </c>
      <c r="J20" s="16">
        <v>1872359.53</v>
      </c>
      <c r="K20" s="16">
        <v>480092.19</v>
      </c>
      <c r="L20" s="16">
        <v>480092.19</v>
      </c>
      <c r="M20" s="16">
        <v>192036.86</v>
      </c>
    </row>
    <row r="21" spans="1:13" ht="12.75">
      <c r="A21" s="3">
        <v>41548</v>
      </c>
      <c r="B21" s="16">
        <v>62084114.22</v>
      </c>
      <c r="C21" s="16">
        <f>580043.13-76392</f>
        <v>503651.13</v>
      </c>
      <c r="D21" s="16">
        <f t="shared" si="0"/>
        <v>56738869.41</v>
      </c>
      <c r="E21" s="16">
        <v>4841593.68</v>
      </c>
      <c r="F21" s="17">
        <v>802</v>
      </c>
      <c r="G21" s="16">
        <f>E21/F21/31</f>
        <v>194.73870485077626</v>
      </c>
      <c r="I21" s="16">
        <v>1791389.65</v>
      </c>
      <c r="J21" s="16">
        <v>1888221.52</v>
      </c>
      <c r="K21" s="16">
        <v>484159.38</v>
      </c>
      <c r="L21" s="16">
        <v>484159.38</v>
      </c>
      <c r="M21" s="16">
        <v>193663.72</v>
      </c>
    </row>
    <row r="22" spans="1:13" ht="12.75">
      <c r="A22" s="3">
        <v>41579</v>
      </c>
      <c r="B22" s="16">
        <v>56578223.74</v>
      </c>
      <c r="C22" s="16">
        <v>498962.97</v>
      </c>
      <c r="D22" s="16">
        <f t="shared" si="0"/>
        <v>51724749.57</v>
      </c>
      <c r="E22" s="16">
        <v>4354511.2</v>
      </c>
      <c r="F22" s="17">
        <v>802</v>
      </c>
      <c r="G22" s="16">
        <f>E22/F22/30</f>
        <v>180.9855029093932</v>
      </c>
      <c r="I22" s="16">
        <v>1611169.14</v>
      </c>
      <c r="J22" s="16">
        <v>1698259.36</v>
      </c>
      <c r="K22" s="16">
        <v>435451.13</v>
      </c>
      <c r="L22" s="16">
        <v>435451.13</v>
      </c>
      <c r="M22" s="16">
        <v>174180.46</v>
      </c>
    </row>
    <row r="23" spans="1:13" ht="12.75">
      <c r="A23" s="3">
        <v>41609</v>
      </c>
      <c r="B23" s="16">
        <v>54106467.33</v>
      </c>
      <c r="C23" s="16">
        <f>443408.21-12275</f>
        <v>431133.21</v>
      </c>
      <c r="D23" s="16">
        <f t="shared" si="0"/>
        <v>49362443.559999995</v>
      </c>
      <c r="E23" s="16">
        <v>4312890.56</v>
      </c>
      <c r="F23" s="17">
        <v>802</v>
      </c>
      <c r="G23" s="16">
        <f>E23/F23/31</f>
        <v>173.47319443327163</v>
      </c>
      <c r="I23" s="16">
        <v>1595769.49</v>
      </c>
      <c r="J23" s="16">
        <v>1682027.3</v>
      </c>
      <c r="K23" s="16">
        <v>431289.04</v>
      </c>
      <c r="L23" s="16">
        <v>431289.04</v>
      </c>
      <c r="M23" s="16">
        <v>172515.6</v>
      </c>
    </row>
    <row r="24" spans="1:13" ht="12.75">
      <c r="A24" s="3">
        <v>41640</v>
      </c>
      <c r="B24" s="16">
        <v>53540051.98</v>
      </c>
      <c r="C24" s="16">
        <v>410739.26</v>
      </c>
      <c r="D24" s="16">
        <f t="shared" si="0"/>
        <v>49022587.23</v>
      </c>
      <c r="E24" s="16">
        <v>4106725.49</v>
      </c>
      <c r="F24" s="17">
        <v>802</v>
      </c>
      <c r="G24" s="16">
        <f>E24/F24/31</f>
        <v>165.18081771378007</v>
      </c>
      <c r="I24" s="16">
        <v>1519488.45</v>
      </c>
      <c r="J24" s="16">
        <v>1601622.97</v>
      </c>
      <c r="K24" s="16">
        <v>410672.55</v>
      </c>
      <c r="L24" s="16">
        <v>410672.55</v>
      </c>
      <c r="M24" s="16">
        <v>164269</v>
      </c>
    </row>
    <row r="25" spans="1:13" ht="12.75">
      <c r="A25" s="3">
        <v>41671</v>
      </c>
      <c r="B25" s="16">
        <v>56088650.68</v>
      </c>
      <c r="C25" s="16">
        <f>406963.96-7484.9</f>
        <v>399479.06</v>
      </c>
      <c r="D25" s="16">
        <f t="shared" si="0"/>
        <v>51296317</v>
      </c>
      <c r="E25" s="16">
        <v>4392854.62</v>
      </c>
      <c r="F25" s="17">
        <v>802</v>
      </c>
      <c r="G25" s="16">
        <f>E25/F25/28</f>
        <v>195.62052992518701</v>
      </c>
      <c r="I25" s="16">
        <v>1944483.93</v>
      </c>
      <c r="J25" s="16">
        <v>1394085.59</v>
      </c>
      <c r="K25" s="16">
        <v>439285.48</v>
      </c>
      <c r="L25" s="16">
        <v>439285.48</v>
      </c>
      <c r="M25" s="16">
        <v>175714.18</v>
      </c>
    </row>
    <row r="26" spans="1:13" ht="12.75">
      <c r="A26" s="3">
        <v>41699</v>
      </c>
      <c r="B26" s="16">
        <v>66219743.64</v>
      </c>
      <c r="C26" s="16">
        <f>463119.03-7655</f>
        <v>455464.03</v>
      </c>
      <c r="D26" s="16">
        <f t="shared" si="0"/>
        <v>60513715.36</v>
      </c>
      <c r="E26" s="16">
        <v>5250564.25</v>
      </c>
      <c r="F26" s="17">
        <v>802</v>
      </c>
      <c r="G26" s="16">
        <f>E26/F26/31</f>
        <v>211.18832957927762</v>
      </c>
      <c r="I26" s="16">
        <v>2520270.84</v>
      </c>
      <c r="J26" s="16">
        <v>1470157.99</v>
      </c>
      <c r="K26" s="16">
        <v>525056.43</v>
      </c>
      <c r="L26" s="16">
        <v>525056.43</v>
      </c>
      <c r="M26" s="16">
        <v>210022.55</v>
      </c>
    </row>
    <row r="27" spans="1:13" ht="13.5" thickBot="1">
      <c r="A27" s="3" t="s">
        <v>19</v>
      </c>
      <c r="B27" s="18">
        <f>SUM(B15:B26)</f>
        <v>748701296.0500001</v>
      </c>
      <c r="C27" s="18">
        <f>SUM(C15:C26)</f>
        <v>5858170.049999999</v>
      </c>
      <c r="D27" s="18">
        <f>SUM(D15:D26)</f>
        <v>684691400.84</v>
      </c>
      <c r="E27" s="18">
        <f>SUM(E15:E26)</f>
        <v>58151725.160000004</v>
      </c>
      <c r="I27" s="18">
        <f>SUM(I15:I26)</f>
        <v>22412828.07</v>
      </c>
      <c r="J27" s="18">
        <f>SUM(J15:J26)</f>
        <v>21782483.049999997</v>
      </c>
      <c r="K27" s="18">
        <f>SUM(K15:K26)</f>
        <v>5815172.629999999</v>
      </c>
      <c r="L27" s="18">
        <f>SUM(L15:L26)</f>
        <v>5815172.629999999</v>
      </c>
      <c r="M27" s="18">
        <f>SUM(M15:M26)</f>
        <v>2326068.9099999997</v>
      </c>
    </row>
    <row r="28" spans="2:13" ht="10.5" customHeight="1" thickTop="1">
      <c r="B28" s="19"/>
      <c r="C28" s="19"/>
      <c r="D28" s="19"/>
      <c r="E28" s="19"/>
      <c r="I28" s="19"/>
      <c r="J28" s="19"/>
      <c r="K28" s="19"/>
      <c r="L28" s="19"/>
      <c r="M28" s="19"/>
    </row>
    <row r="29" spans="1:13" s="22" customFormat="1" ht="12.75">
      <c r="A29" s="20"/>
      <c r="B29" s="21"/>
      <c r="C29" s="21">
        <f>C27/B27</f>
        <v>0.007824442245400864</v>
      </c>
      <c r="D29" s="21">
        <f>D27/B27</f>
        <v>0.9145054302060066</v>
      </c>
      <c r="E29" s="21">
        <f>E27/B27</f>
        <v>0.07767012754859248</v>
      </c>
      <c r="I29" s="21">
        <f>I27/$E$27</f>
        <v>0.3854198307674076</v>
      </c>
      <c r="J29" s="21">
        <f>J27/$E$27</f>
        <v>0.3745801692050781</v>
      </c>
      <c r="K29" s="21">
        <f>K27/$E$27</f>
        <v>0.10000000196038894</v>
      </c>
      <c r="L29" s="21">
        <f>L27/$E$27</f>
        <v>0.10000000196038894</v>
      </c>
      <c r="M29" s="21">
        <f>M27/$E$27</f>
        <v>0.03999999834226757</v>
      </c>
    </row>
    <row r="31" spans="1:13" s="23" customFormat="1" ht="12.75">
      <c r="A31" s="64" t="s">
        <v>20</v>
      </c>
      <c r="B31" s="65"/>
      <c r="C31" s="65"/>
      <c r="D31" s="65"/>
      <c r="E31" s="65"/>
      <c r="F31" s="65"/>
      <c r="G31" s="65"/>
      <c r="H31" s="65"/>
      <c r="I31" s="65"/>
      <c r="J31" s="65"/>
      <c r="K31" s="65"/>
      <c r="L31" s="65"/>
      <c r="M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87</v>
      </c>
      <c r="B36" s="26"/>
      <c r="C36" s="26" t="s">
        <v>51</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22</v>
      </c>
      <c r="B38" s="42"/>
      <c r="C38" s="43" t="s">
        <v>91</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24</v>
      </c>
      <c r="B40" s="42"/>
      <c r="C40" s="42" t="s">
        <v>52</v>
      </c>
      <c r="D40" s="46"/>
      <c r="E40" s="47"/>
      <c r="F40" s="42"/>
      <c r="G40" s="42"/>
      <c r="H40" s="42"/>
      <c r="I40" s="42"/>
      <c r="J40" s="42"/>
      <c r="K40" s="42"/>
      <c r="L40" s="42"/>
    </row>
    <row r="41" spans="1:12" s="45" customFormat="1" ht="12.75">
      <c r="A41" s="41"/>
      <c r="B41" s="42"/>
      <c r="C41" s="42" t="s">
        <v>53</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27</v>
      </c>
      <c r="B43" s="42"/>
      <c r="C43" s="42" t="s">
        <v>28</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65</v>
      </c>
      <c r="B45" s="42"/>
      <c r="C45" s="42" t="s">
        <v>68</v>
      </c>
      <c r="D45" s="46"/>
      <c r="E45" s="47"/>
      <c r="F45" s="42"/>
      <c r="G45" s="42"/>
      <c r="H45" s="42"/>
      <c r="I45" s="42"/>
      <c r="J45" s="42"/>
      <c r="K45" s="42"/>
      <c r="L45" s="42"/>
    </row>
    <row r="46" spans="1:12" s="45" customFormat="1" ht="12.75">
      <c r="A46" s="41"/>
      <c r="B46" s="42"/>
      <c r="C46" s="42" t="s">
        <v>75</v>
      </c>
      <c r="D46" s="46"/>
      <c r="E46" s="47"/>
      <c r="F46" s="42"/>
      <c r="G46" s="42"/>
      <c r="H46" s="42"/>
      <c r="I46" s="42"/>
      <c r="J46" s="42"/>
      <c r="K46" s="42"/>
      <c r="L46" s="42"/>
    </row>
    <row r="47" spans="1:12" s="45" customFormat="1" ht="12.75">
      <c r="A47" s="41"/>
      <c r="B47" s="42"/>
      <c r="C47" s="42" t="s">
        <v>76</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29</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77</v>
      </c>
      <c r="B52" s="42"/>
      <c r="C52" s="42" t="s">
        <v>70</v>
      </c>
      <c r="D52" s="46"/>
      <c r="E52" s="47"/>
      <c r="F52" s="42"/>
      <c r="G52" s="42"/>
      <c r="H52" s="42"/>
      <c r="I52" s="42"/>
      <c r="J52" s="42"/>
      <c r="K52" s="42"/>
      <c r="L52" s="42"/>
    </row>
    <row r="53" spans="1:12" s="45" customFormat="1" ht="12.75">
      <c r="A53" s="48"/>
      <c r="B53" s="42"/>
      <c r="C53" s="42" t="s">
        <v>71</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44</v>
      </c>
      <c r="B55" s="42"/>
      <c r="C55" s="42" t="s">
        <v>54</v>
      </c>
      <c r="D55" s="46"/>
      <c r="E55" s="47"/>
      <c r="F55" s="42"/>
      <c r="G55" s="42"/>
      <c r="H55" s="42"/>
      <c r="I55" s="42"/>
      <c r="J55" s="42"/>
      <c r="K55" s="42"/>
      <c r="L55" s="46"/>
    </row>
    <row r="56" spans="1:12" s="45" customFormat="1" ht="12.75">
      <c r="A56" s="48"/>
      <c r="B56" s="42"/>
      <c r="C56" s="42" t="s">
        <v>55</v>
      </c>
      <c r="D56" s="46"/>
      <c r="E56" s="47"/>
      <c r="F56" s="42"/>
      <c r="G56" s="42"/>
      <c r="H56" s="42"/>
      <c r="I56" s="42"/>
      <c r="J56" s="42"/>
      <c r="K56" s="42"/>
      <c r="L56" s="46"/>
    </row>
    <row r="57" spans="1:12" s="45" customFormat="1" ht="12.75">
      <c r="A57" s="48"/>
      <c r="B57" s="42"/>
      <c r="C57" s="42" t="s">
        <v>56</v>
      </c>
      <c r="D57" s="46"/>
      <c r="E57" s="47"/>
      <c r="F57" s="42"/>
      <c r="G57" s="42"/>
      <c r="H57" s="42"/>
      <c r="I57" s="42"/>
      <c r="J57" s="42"/>
      <c r="K57" s="42"/>
      <c r="L57" s="46"/>
    </row>
    <row r="58" spans="1:13" ht="12.75">
      <c r="A58" s="29"/>
      <c r="B58" s="30"/>
      <c r="C58" s="30"/>
      <c r="D58" s="26"/>
      <c r="E58" s="30"/>
      <c r="F58" s="31"/>
      <c r="G58" s="30"/>
      <c r="H58" s="30"/>
      <c r="I58" s="30"/>
      <c r="J58" s="30"/>
      <c r="K58" s="30"/>
      <c r="L58" s="30"/>
      <c r="M58" s="30"/>
    </row>
    <row r="59" spans="1:13" s="23" customFormat="1" ht="12.75">
      <c r="A59" s="64" t="s">
        <v>30</v>
      </c>
      <c r="B59" s="65"/>
      <c r="C59" s="65"/>
      <c r="D59" s="65"/>
      <c r="E59" s="65"/>
      <c r="F59" s="65"/>
      <c r="G59" s="65"/>
      <c r="H59" s="65"/>
      <c r="I59" s="65"/>
      <c r="J59" s="65"/>
      <c r="K59" s="65"/>
      <c r="L59" s="65"/>
      <c r="M59" s="66"/>
    </row>
    <row r="60" ht="12.75">
      <c r="A60" s="24"/>
    </row>
    <row r="61" spans="1:13" ht="13.5">
      <c r="A61" s="32"/>
      <c r="E61" s="10" t="s">
        <v>8</v>
      </c>
      <c r="F61" s="67" t="s">
        <v>78</v>
      </c>
      <c r="G61" s="67"/>
      <c r="H61" s="67"/>
      <c r="I61" s="67"/>
      <c r="J61" s="10" t="s">
        <v>9</v>
      </c>
      <c r="K61" s="53" t="s">
        <v>73</v>
      </c>
      <c r="L61" s="10" t="s">
        <v>42</v>
      </c>
      <c r="M61" s="34"/>
    </row>
    <row r="62" spans="1:13" ht="12.75">
      <c r="A62" s="35"/>
      <c r="E62" s="8" t="s">
        <v>16</v>
      </c>
      <c r="F62" s="8" t="s">
        <v>79</v>
      </c>
      <c r="G62" s="58" t="s">
        <v>80</v>
      </c>
      <c r="H62" s="57"/>
      <c r="I62" s="8" t="s">
        <v>81</v>
      </c>
      <c r="J62" s="8" t="s">
        <v>18</v>
      </c>
      <c r="K62" s="54" t="s">
        <v>74</v>
      </c>
      <c r="L62" s="8" t="s">
        <v>43</v>
      </c>
      <c r="M62" s="34"/>
    </row>
    <row r="63" spans="2:13" ht="12.75">
      <c r="B63" s="37" t="s">
        <v>31</v>
      </c>
      <c r="C63" s="37"/>
      <c r="E63" s="55">
        <v>0.37</v>
      </c>
      <c r="F63" s="55">
        <v>0.29</v>
      </c>
      <c r="G63" s="59">
        <v>0.0875</v>
      </c>
      <c r="H63" s="56"/>
      <c r="I63" s="55">
        <v>0.0125</v>
      </c>
      <c r="J63" s="55">
        <v>0.1</v>
      </c>
      <c r="K63" s="55">
        <v>0.1</v>
      </c>
      <c r="L63" s="55">
        <v>0.04</v>
      </c>
      <c r="M63" s="39"/>
    </row>
    <row r="64" spans="2:13" ht="12.75">
      <c r="B64" s="37" t="s">
        <v>46</v>
      </c>
      <c r="C64" s="37"/>
      <c r="E64" s="55">
        <v>0.48</v>
      </c>
      <c r="F64" s="55">
        <v>0.18</v>
      </c>
      <c r="G64" s="59">
        <v>0.0875</v>
      </c>
      <c r="H64" s="56"/>
      <c r="I64" s="55">
        <v>0.0125</v>
      </c>
      <c r="J64" s="55">
        <v>0.1</v>
      </c>
      <c r="K64" s="55">
        <v>0.1</v>
      </c>
      <c r="L64" s="55">
        <v>0.04</v>
      </c>
      <c r="M64" s="39"/>
    </row>
    <row r="65" spans="2:13" ht="12.75">
      <c r="B65" s="37" t="s">
        <v>47</v>
      </c>
      <c r="C65" s="37"/>
      <c r="E65" s="55">
        <v>0.52</v>
      </c>
      <c r="F65" s="55">
        <v>0.18</v>
      </c>
      <c r="G65" s="59">
        <v>0.0875</v>
      </c>
      <c r="H65" s="56"/>
      <c r="I65" s="55">
        <v>0.0125</v>
      </c>
      <c r="J65" s="55">
        <v>0.1</v>
      </c>
      <c r="K65" s="55">
        <v>0.1</v>
      </c>
      <c r="L65" s="55">
        <v>0</v>
      </c>
      <c r="M65" s="39"/>
    </row>
    <row r="66" spans="2:13" ht="12.75">
      <c r="B66" s="37" t="s">
        <v>33</v>
      </c>
      <c r="C66" s="37"/>
      <c r="E66" s="55">
        <v>0.54</v>
      </c>
      <c r="F66" s="55">
        <v>0.18</v>
      </c>
      <c r="G66" s="59">
        <v>0.0875</v>
      </c>
      <c r="H66" s="56"/>
      <c r="I66" s="55">
        <v>0.0125</v>
      </c>
      <c r="J66" s="55">
        <v>0.08</v>
      </c>
      <c r="K66" s="55">
        <v>0.1</v>
      </c>
      <c r="L66" s="55">
        <v>0</v>
      </c>
      <c r="M66" s="39"/>
    </row>
    <row r="67" spans="2:13" ht="12.75">
      <c r="B67" s="37" t="s">
        <v>34</v>
      </c>
      <c r="C67" s="37"/>
      <c r="E67" s="55">
        <v>0.57</v>
      </c>
      <c r="F67" s="55">
        <v>0.15</v>
      </c>
      <c r="G67" s="59">
        <v>0.0875</v>
      </c>
      <c r="H67" s="56"/>
      <c r="I67" s="55">
        <v>0.0125</v>
      </c>
      <c r="J67" s="55">
        <v>0.08</v>
      </c>
      <c r="K67" s="55">
        <v>0.1</v>
      </c>
      <c r="L67" s="55">
        <v>0</v>
      </c>
      <c r="M67" s="39"/>
    </row>
    <row r="68" ht="12.75">
      <c r="A68" s="24"/>
    </row>
    <row r="69" spans="1:13" s="23" customFormat="1" ht="12.75">
      <c r="A69" s="68" t="s">
        <v>37</v>
      </c>
      <c r="B69" s="69"/>
      <c r="C69" s="69"/>
      <c r="D69" s="69"/>
      <c r="E69" s="69"/>
      <c r="F69" s="69"/>
      <c r="G69" s="69"/>
      <c r="H69" s="69"/>
      <c r="I69" s="69"/>
      <c r="J69" s="69"/>
      <c r="K69" s="69"/>
      <c r="L69" s="69"/>
      <c r="M69" s="70"/>
    </row>
    <row r="70" spans="1:6" ht="12.75">
      <c r="A70" s="24"/>
      <c r="E70"/>
      <c r="F70" s="16"/>
    </row>
    <row r="71" spans="1:13" ht="49.5" customHeight="1">
      <c r="A71" s="71" t="s">
        <v>90</v>
      </c>
      <c r="B71" s="72"/>
      <c r="C71" s="72"/>
      <c r="D71" s="72"/>
      <c r="E71" s="72"/>
      <c r="F71" s="72"/>
      <c r="G71" s="72"/>
      <c r="H71" s="72"/>
      <c r="I71" s="72"/>
      <c r="J71" s="72"/>
      <c r="K71" s="72"/>
      <c r="L71" s="72"/>
      <c r="M71" s="72"/>
    </row>
    <row r="72" spans="1:6" ht="12.75">
      <c r="A72" s="16"/>
      <c r="E72"/>
      <c r="F72" s="16"/>
    </row>
    <row r="73" spans="2:5" ht="12.75">
      <c r="B73" s="24" t="s">
        <v>38</v>
      </c>
      <c r="C73" s="24"/>
      <c r="D73" s="24"/>
      <c r="E73" s="16">
        <v>126378</v>
      </c>
    </row>
    <row r="74" spans="2:5" ht="12.75">
      <c r="B74" s="24" t="s">
        <v>39</v>
      </c>
      <c r="C74" s="24"/>
      <c r="D74" s="24"/>
      <c r="E74" s="16">
        <v>223934</v>
      </c>
    </row>
    <row r="75" spans="2:5" ht="12.75">
      <c r="B75" s="16" t="s">
        <v>35</v>
      </c>
      <c r="E75" s="16" t="s">
        <v>35</v>
      </c>
    </row>
    <row r="76" ht="12.75">
      <c r="A76" s="28" t="s">
        <v>88</v>
      </c>
    </row>
  </sheetData>
  <sheetProtection/>
  <mergeCells count="12">
    <mergeCell ref="I10:M10"/>
    <mergeCell ref="A31:M31"/>
    <mergeCell ref="A59:M59"/>
    <mergeCell ref="F61:I61"/>
    <mergeCell ref="A69:M69"/>
    <mergeCell ref="A71:M71"/>
    <mergeCell ref="A1:M1"/>
    <mergeCell ref="A2:M2"/>
    <mergeCell ref="A3:M3"/>
    <mergeCell ref="A4:M4"/>
    <mergeCell ref="A5:M5"/>
    <mergeCell ref="A8:M8"/>
  </mergeCells>
  <hyperlinks>
    <hyperlink ref="A4" r:id="rId1" display="www.tiogadowns.com"/>
  </hyperlinks>
  <printOptions horizontalCentered="1"/>
  <pageMargins left="0.25" right="0.25" top="0.75" bottom="0.5" header="0.5" footer="0.5"/>
  <pageSetup fitToHeight="1" fitToWidth="1" horizontalDpi="600" verticalDpi="600" orientation="portrait" scale="74"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1" sqref="A1:M1"/>
    </sheetView>
  </sheetViews>
  <sheetFormatPr defaultColWidth="9.140625" defaultRowHeight="12.75"/>
  <cols>
    <col min="1" max="1" width="9.28125" style="3" customWidth="1"/>
    <col min="2" max="2" width="14.140625" style="16" customWidth="1"/>
    <col min="3" max="3" width="11.00390625" style="16" customWidth="1"/>
    <col min="4" max="4" width="13.57421875" style="16" customWidth="1"/>
    <col min="5" max="5" width="11.7109375" style="16" bestFit="1" customWidth="1"/>
    <col min="6" max="6" width="8.140625" style="17" customWidth="1"/>
    <col min="7" max="7" width="9.00390625" style="16" customWidth="1"/>
    <col min="8" max="8" width="1.421875" style="16" customWidth="1"/>
    <col min="9" max="9" width="12.00390625" style="16" customWidth="1"/>
    <col min="10" max="10" width="12.140625" style="16" customWidth="1"/>
    <col min="11" max="12" width="12.8515625" style="16" bestFit="1" customWidth="1"/>
    <col min="13" max="13" width="11.00390625" style="16" customWidth="1"/>
    <col min="14" max="14" width="12.7109375" style="0" customWidth="1"/>
  </cols>
  <sheetData>
    <row r="1" spans="1:13" ht="18">
      <c r="A1" s="60" t="s">
        <v>48</v>
      </c>
      <c r="B1" s="60"/>
      <c r="C1" s="60"/>
      <c r="D1" s="60"/>
      <c r="E1" s="60"/>
      <c r="F1" s="60"/>
      <c r="G1" s="60"/>
      <c r="H1" s="60"/>
      <c r="I1" s="60"/>
      <c r="J1" s="60"/>
      <c r="K1" s="60"/>
      <c r="L1" s="60"/>
      <c r="M1" s="60"/>
    </row>
    <row r="2" spans="1:13" ht="15">
      <c r="A2" s="61" t="s">
        <v>0</v>
      </c>
      <c r="B2" s="61"/>
      <c r="C2" s="61"/>
      <c r="D2" s="61"/>
      <c r="E2" s="61"/>
      <c r="F2" s="61"/>
      <c r="G2" s="61"/>
      <c r="H2" s="61"/>
      <c r="I2" s="61"/>
      <c r="J2" s="61"/>
      <c r="K2" s="61"/>
      <c r="L2" s="61"/>
      <c r="M2" s="61"/>
    </row>
    <row r="3" spans="1:13" s="1" customFormat="1" ht="15">
      <c r="A3" s="61" t="s">
        <v>1</v>
      </c>
      <c r="B3" s="61"/>
      <c r="C3" s="61"/>
      <c r="D3" s="61"/>
      <c r="E3" s="61"/>
      <c r="F3" s="61"/>
      <c r="G3" s="61"/>
      <c r="H3" s="61"/>
      <c r="I3" s="61"/>
      <c r="J3" s="61"/>
      <c r="K3" s="61"/>
      <c r="L3" s="61"/>
      <c r="M3" s="61"/>
    </row>
    <row r="4" spans="1:13" s="1" customFormat="1" ht="14.25" customHeight="1">
      <c r="A4" s="62" t="s">
        <v>2</v>
      </c>
      <c r="B4" s="62"/>
      <c r="C4" s="62"/>
      <c r="D4" s="62"/>
      <c r="E4" s="62"/>
      <c r="F4" s="62"/>
      <c r="G4" s="62"/>
      <c r="H4" s="62"/>
      <c r="I4" s="62"/>
      <c r="J4" s="62"/>
      <c r="K4" s="62"/>
      <c r="L4" s="62"/>
      <c r="M4" s="62"/>
    </row>
    <row r="5" spans="1:13" s="1" customFormat="1" ht="14.25">
      <c r="A5" s="63" t="s">
        <v>3</v>
      </c>
      <c r="B5" s="63"/>
      <c r="C5" s="63"/>
      <c r="D5" s="63"/>
      <c r="E5" s="63"/>
      <c r="F5" s="63"/>
      <c r="G5" s="63"/>
      <c r="H5" s="63"/>
      <c r="I5" s="63"/>
      <c r="J5" s="63"/>
      <c r="K5" s="63"/>
      <c r="L5" s="63"/>
      <c r="M5" s="6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64" t="s">
        <v>83</v>
      </c>
      <c r="B8" s="65"/>
      <c r="C8" s="65"/>
      <c r="D8" s="65"/>
      <c r="E8" s="65"/>
      <c r="F8" s="65"/>
      <c r="G8" s="65"/>
      <c r="H8" s="65"/>
      <c r="I8" s="65"/>
      <c r="J8" s="65"/>
      <c r="K8" s="65"/>
      <c r="L8" s="65"/>
      <c r="M8" s="6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67" t="s">
        <v>4</v>
      </c>
      <c r="J10" s="67"/>
      <c r="K10" s="67"/>
      <c r="L10" s="67"/>
      <c r="M10" s="67"/>
    </row>
    <row r="11" spans="1:13" s="1" customFormat="1" ht="12.75">
      <c r="A11" s="3"/>
      <c r="B11" s="5"/>
      <c r="C11" s="10"/>
      <c r="D11" s="5"/>
      <c r="E11" s="5"/>
      <c r="F11" s="6"/>
      <c r="G11" s="5"/>
      <c r="H11" s="5"/>
      <c r="I11" s="5"/>
      <c r="J11" s="5"/>
      <c r="K11" s="5"/>
      <c r="L11" s="5"/>
      <c r="M11" s="5"/>
    </row>
    <row r="12" spans="1:13" s="12" customFormat="1" ht="12">
      <c r="A12" s="9"/>
      <c r="B12" s="10" t="s">
        <v>5</v>
      </c>
      <c r="C12" s="15" t="s">
        <v>57</v>
      </c>
      <c r="D12" s="10" t="s">
        <v>5</v>
      </c>
      <c r="E12" s="10"/>
      <c r="F12" s="11" t="s">
        <v>6</v>
      </c>
      <c r="G12" s="10" t="s">
        <v>7</v>
      </c>
      <c r="H12" s="10"/>
      <c r="I12" s="10" t="s">
        <v>8</v>
      </c>
      <c r="J12" s="10" t="s">
        <v>72</v>
      </c>
      <c r="K12" s="10" t="s">
        <v>9</v>
      </c>
      <c r="L12" s="10" t="s">
        <v>73</v>
      </c>
      <c r="M12" s="10" t="s">
        <v>42</v>
      </c>
    </row>
    <row r="13" spans="1:13" s="12" customFormat="1" ht="12">
      <c r="A13" s="13" t="s">
        <v>10</v>
      </c>
      <c r="B13" s="8" t="s">
        <v>11</v>
      </c>
      <c r="C13" s="8" t="s">
        <v>18</v>
      </c>
      <c r="D13" s="8" t="s">
        <v>12</v>
      </c>
      <c r="E13" s="8" t="s">
        <v>13</v>
      </c>
      <c r="F13" s="14" t="s">
        <v>14</v>
      </c>
      <c r="G13" s="8" t="s">
        <v>15</v>
      </c>
      <c r="H13" s="15"/>
      <c r="I13" s="8" t="s">
        <v>16</v>
      </c>
      <c r="J13" s="8" t="s">
        <v>17</v>
      </c>
      <c r="K13" s="8" t="s">
        <v>18</v>
      </c>
      <c r="L13" s="8" t="s">
        <v>74</v>
      </c>
      <c r="M13" s="8" t="s">
        <v>43</v>
      </c>
    </row>
    <row r="15" spans="1:13" ht="12.75">
      <c r="A15" s="3">
        <v>41000</v>
      </c>
      <c r="B15" s="16">
        <v>68746509.38</v>
      </c>
      <c r="C15" s="16">
        <f>452426.66-36583</f>
        <v>415843.66</v>
      </c>
      <c r="D15" s="16">
        <f aca="true" t="shared" si="0" ref="D15:D26">B15-C15-E15</f>
        <v>62875475.9</v>
      </c>
      <c r="E15" s="16">
        <v>5455189.82</v>
      </c>
      <c r="F15" s="17">
        <v>802</v>
      </c>
      <c r="G15" s="16">
        <f>E15/F15/30</f>
        <v>226.73274397339986</v>
      </c>
      <c r="I15" s="16">
        <v>2018420.22</v>
      </c>
      <c r="J15" s="16">
        <v>2127524.05</v>
      </c>
      <c r="K15" s="16">
        <v>545519</v>
      </c>
      <c r="L15" s="16">
        <v>545519</v>
      </c>
      <c r="M15" s="16">
        <v>218207.58</v>
      </c>
    </row>
    <row r="16" spans="1:13" ht="12.75">
      <c r="A16" s="3">
        <v>41030</v>
      </c>
      <c r="B16" s="16">
        <v>67888961.32</v>
      </c>
      <c r="C16" s="16">
        <f>501643.13-7825</f>
        <v>493818.13</v>
      </c>
      <c r="D16" s="16">
        <f t="shared" si="0"/>
        <v>62104158.51</v>
      </c>
      <c r="E16" s="16">
        <v>5290984.68</v>
      </c>
      <c r="F16" s="17">
        <v>802</v>
      </c>
      <c r="G16" s="16">
        <f>E16/F16/31</f>
        <v>212.81412114874104</v>
      </c>
      <c r="I16" s="16">
        <v>1957664.32</v>
      </c>
      <c r="J16" s="16">
        <v>2063484.02</v>
      </c>
      <c r="K16" s="16">
        <v>529098.47</v>
      </c>
      <c r="L16" s="16">
        <v>529098.47</v>
      </c>
      <c r="M16" s="16">
        <v>211639.42</v>
      </c>
    </row>
    <row r="17" spans="1:13" ht="12.75">
      <c r="A17" s="3">
        <v>41061</v>
      </c>
      <c r="B17" s="16">
        <v>68406336.5</v>
      </c>
      <c r="C17" s="16">
        <f>515123.88-7985.2</f>
        <v>507138.68</v>
      </c>
      <c r="D17" s="16">
        <f t="shared" si="0"/>
        <v>62512748.699999996</v>
      </c>
      <c r="E17" s="16">
        <v>5386449.12</v>
      </c>
      <c r="F17" s="17">
        <v>802</v>
      </c>
      <c r="G17" s="16">
        <f>E17/F17/30</f>
        <v>223.87569077306733</v>
      </c>
      <c r="I17" s="16">
        <v>1992986.17</v>
      </c>
      <c r="J17" s="16">
        <v>2100715.18</v>
      </c>
      <c r="K17" s="16">
        <v>538644.92</v>
      </c>
      <c r="L17" s="16">
        <v>538644.92</v>
      </c>
      <c r="M17" s="16">
        <v>215457.98</v>
      </c>
    </row>
    <row r="18" spans="1:13" ht="12.75">
      <c r="A18" s="3">
        <v>41091</v>
      </c>
      <c r="B18" s="16">
        <v>69434466.1</v>
      </c>
      <c r="C18" s="16">
        <v>535632.8</v>
      </c>
      <c r="D18" s="16">
        <f t="shared" si="0"/>
        <v>63606861.3</v>
      </c>
      <c r="E18" s="16">
        <v>5291972</v>
      </c>
      <c r="F18" s="17">
        <v>802</v>
      </c>
      <c r="G18" s="16">
        <f>E18/F18/31</f>
        <v>212.8538331590379</v>
      </c>
      <c r="I18" s="16">
        <v>1958029.64</v>
      </c>
      <c r="J18" s="16">
        <v>2063869.09</v>
      </c>
      <c r="K18" s="16">
        <v>529197.21</v>
      </c>
      <c r="L18" s="16">
        <v>529197.21</v>
      </c>
      <c r="M18" s="16">
        <v>211678.88</v>
      </c>
    </row>
    <row r="19" spans="1:13" ht="12.75">
      <c r="A19" s="3">
        <v>41122</v>
      </c>
      <c r="B19" s="16">
        <v>69892456.65</v>
      </c>
      <c r="C19" s="16">
        <f>587597.12-6686.6</f>
        <v>580910.52</v>
      </c>
      <c r="D19" s="16">
        <f t="shared" si="0"/>
        <v>63858702.92000001</v>
      </c>
      <c r="E19" s="16">
        <v>5452843.21</v>
      </c>
      <c r="F19" s="17">
        <v>802</v>
      </c>
      <c r="G19" s="16">
        <f>E19/F19/31</f>
        <v>219.32439908293782</v>
      </c>
      <c r="I19" s="16">
        <v>2017551.99</v>
      </c>
      <c r="J19" s="16">
        <v>2126608.87</v>
      </c>
      <c r="K19" s="16">
        <v>545284.33</v>
      </c>
      <c r="L19" s="16">
        <v>545284.33</v>
      </c>
      <c r="M19" s="16">
        <v>218113.73</v>
      </c>
    </row>
    <row r="20" spans="1:13" ht="12.75">
      <c r="A20" s="3">
        <v>41153</v>
      </c>
      <c r="B20" s="16">
        <v>66662178.6</v>
      </c>
      <c r="C20" s="16">
        <f>586486.8-919.2</f>
        <v>585567.6000000001</v>
      </c>
      <c r="D20" s="16">
        <f t="shared" si="0"/>
        <v>60971124.84</v>
      </c>
      <c r="E20" s="16">
        <v>5105486.16</v>
      </c>
      <c r="F20" s="17">
        <v>802</v>
      </c>
      <c r="G20" s="16">
        <f>E20/F20/30</f>
        <v>212.19809476309229</v>
      </c>
      <c r="I20" s="16">
        <v>1889029.86</v>
      </c>
      <c r="J20" s="16">
        <v>1991139.64</v>
      </c>
      <c r="K20" s="16">
        <v>510548.61</v>
      </c>
      <c r="L20" s="16">
        <v>510548.61</v>
      </c>
      <c r="M20" s="16">
        <v>204219.42</v>
      </c>
    </row>
    <row r="21" spans="1:13" ht="12.75">
      <c r="A21" s="3">
        <v>41183</v>
      </c>
      <c r="B21" s="16">
        <v>60043910.87</v>
      </c>
      <c r="C21" s="16">
        <f>535769.69-103.2</f>
        <v>535666.49</v>
      </c>
      <c r="D21" s="16">
        <f t="shared" si="0"/>
        <v>54734204.589999996</v>
      </c>
      <c r="E21" s="16">
        <v>4774039.79</v>
      </c>
      <c r="F21" s="17">
        <v>802</v>
      </c>
      <c r="G21" s="16">
        <f>E21/F21/31</f>
        <v>192.02155055908614</v>
      </c>
      <c r="I21" s="16">
        <v>1766394.73</v>
      </c>
      <c r="J21" s="16">
        <v>1861875.54</v>
      </c>
      <c r="K21" s="16">
        <v>477403.99</v>
      </c>
      <c r="L21" s="16">
        <v>477403.99</v>
      </c>
      <c r="M21" s="16">
        <v>190961.6</v>
      </c>
    </row>
    <row r="22" spans="1:13" ht="12.75">
      <c r="A22" s="3">
        <v>41214</v>
      </c>
      <c r="B22" s="16">
        <v>58505466.29</v>
      </c>
      <c r="C22" s="16">
        <f>523907.33-15665.75</f>
        <v>508241.58</v>
      </c>
      <c r="D22" s="16">
        <f t="shared" si="0"/>
        <v>53298525.3</v>
      </c>
      <c r="E22" s="16">
        <v>4698699.41</v>
      </c>
      <c r="F22" s="17">
        <v>802</v>
      </c>
      <c r="G22" s="16">
        <f>E22/F22/30</f>
        <v>195.29091479634246</v>
      </c>
      <c r="I22" s="16">
        <v>1738518.77</v>
      </c>
      <c r="J22" s="16">
        <v>1832492.79</v>
      </c>
      <c r="K22" s="16">
        <v>469869.97</v>
      </c>
      <c r="L22" s="16">
        <v>469869.97</v>
      </c>
      <c r="M22" s="16">
        <v>187947.97</v>
      </c>
    </row>
    <row r="23" spans="1:13" ht="12.75">
      <c r="A23" s="3">
        <v>41244</v>
      </c>
      <c r="B23" s="16">
        <v>56554915.29</v>
      </c>
      <c r="C23" s="16">
        <f>465187.27-14653.4</f>
        <v>450533.87</v>
      </c>
      <c r="D23" s="16">
        <f t="shared" si="0"/>
        <v>51727329.33</v>
      </c>
      <c r="E23" s="16">
        <v>4377052.09</v>
      </c>
      <c r="F23" s="17">
        <v>802</v>
      </c>
      <c r="G23" s="16">
        <f>E23/F23/31</f>
        <v>176.0539011342611</v>
      </c>
      <c r="I23" s="16">
        <v>1619509.27</v>
      </c>
      <c r="J23" s="16">
        <v>1707050.33</v>
      </c>
      <c r="K23" s="16">
        <v>437705.24</v>
      </c>
      <c r="L23" s="16">
        <v>437705.24</v>
      </c>
      <c r="M23" s="16">
        <v>175082.1</v>
      </c>
    </row>
    <row r="24" spans="1:13" ht="12.75">
      <c r="A24" s="3">
        <v>41275</v>
      </c>
      <c r="B24" s="16">
        <v>58695766.88</v>
      </c>
      <c r="C24" s="16">
        <f>469880.26-24515</f>
        <v>445365.26</v>
      </c>
      <c r="D24" s="16">
        <f t="shared" si="0"/>
        <v>53658622.71000001</v>
      </c>
      <c r="E24" s="16">
        <v>4591778.91</v>
      </c>
      <c r="F24" s="17">
        <v>802</v>
      </c>
      <c r="G24" s="16">
        <f>E24/F24/31</f>
        <v>184.69064878127264</v>
      </c>
      <c r="I24" s="16">
        <v>1745652.68</v>
      </c>
      <c r="J24" s="16">
        <v>1744099.31</v>
      </c>
      <c r="K24" s="16">
        <v>459177.9</v>
      </c>
      <c r="L24" s="16">
        <v>459177.9</v>
      </c>
      <c r="M24" s="16">
        <v>183671.15</v>
      </c>
    </row>
    <row r="25" spans="1:13" ht="12.75">
      <c r="A25" s="3">
        <v>41306</v>
      </c>
      <c r="B25" s="16">
        <v>62876949.01</v>
      </c>
      <c r="C25" s="16">
        <f>471208.16-2270</f>
        <v>468938.16</v>
      </c>
      <c r="D25" s="16">
        <f t="shared" si="0"/>
        <v>57492464</v>
      </c>
      <c r="E25" s="16">
        <v>4915546.85</v>
      </c>
      <c r="F25" s="17">
        <v>802</v>
      </c>
      <c r="G25" s="16">
        <f>E25/F25/28</f>
        <v>218.89681376914854</v>
      </c>
      <c r="I25" s="16">
        <v>2359462.5</v>
      </c>
      <c r="J25" s="16">
        <v>1376353.12</v>
      </c>
      <c r="K25" s="16">
        <v>491554.7</v>
      </c>
      <c r="L25" s="16">
        <v>491554.7</v>
      </c>
      <c r="M25" s="16">
        <v>196621.88</v>
      </c>
    </row>
    <row r="26" spans="1:13" ht="12.75">
      <c r="A26" s="3">
        <v>41334</v>
      </c>
      <c r="B26" s="16">
        <v>73158871.94</v>
      </c>
      <c r="C26" s="16">
        <v>520344.45</v>
      </c>
      <c r="D26" s="16">
        <f t="shared" si="0"/>
        <v>66955686.949999996</v>
      </c>
      <c r="E26" s="16">
        <v>5682840.54</v>
      </c>
      <c r="F26" s="17">
        <v>802</v>
      </c>
      <c r="G26" s="16">
        <f>E26/F26/31</f>
        <v>228.57535757380742</v>
      </c>
      <c r="I26" s="16">
        <v>2727763.48</v>
      </c>
      <c r="J26" s="16">
        <v>1591195.39</v>
      </c>
      <c r="K26" s="16">
        <v>568284.07</v>
      </c>
      <c r="L26" s="16">
        <v>568284.07</v>
      </c>
      <c r="M26" s="16">
        <v>227313.6</v>
      </c>
    </row>
    <row r="27" spans="1:13" ht="13.5" thickBot="1">
      <c r="A27" s="3" t="s">
        <v>19</v>
      </c>
      <c r="B27" s="18">
        <f>SUM(B15:B26)</f>
        <v>780866788.8299999</v>
      </c>
      <c r="C27" s="18">
        <f>SUM(C15:C26)</f>
        <v>6048001.2</v>
      </c>
      <c r="D27" s="18">
        <f>SUM(D15:D26)</f>
        <v>713795905.05</v>
      </c>
      <c r="E27" s="18">
        <f>SUM(E15:E26)</f>
        <v>61022882.58</v>
      </c>
      <c r="I27" s="18">
        <f>SUM(I15:I26)</f>
        <v>23790983.63</v>
      </c>
      <c r="J27" s="18">
        <f>SUM(J15:J26)</f>
        <v>22586407.33</v>
      </c>
      <c r="K27" s="18">
        <f>SUM(K15:K26)</f>
        <v>6102288.410000001</v>
      </c>
      <c r="L27" s="18">
        <f>SUM(L15:L26)</f>
        <v>6102288.410000001</v>
      </c>
      <c r="M27" s="18">
        <f>SUM(M15:M26)</f>
        <v>2440915.31</v>
      </c>
    </row>
    <row r="28" spans="2:13" ht="10.5" customHeight="1" thickTop="1">
      <c r="B28" s="19"/>
      <c r="C28" s="19"/>
      <c r="D28" s="19"/>
      <c r="E28" s="19"/>
      <c r="I28" s="19"/>
      <c r="J28" s="19"/>
      <c r="K28" s="19"/>
      <c r="L28" s="19"/>
      <c r="M28" s="19"/>
    </row>
    <row r="29" spans="1:13" s="22" customFormat="1" ht="12.75">
      <c r="A29" s="20"/>
      <c r="B29" s="21"/>
      <c r="C29" s="21">
        <f>C27/B27</f>
        <v>0.007745240656299306</v>
      </c>
      <c r="D29" s="21">
        <f>D27/B27</f>
        <v>0.9141071374280181</v>
      </c>
      <c r="E29" s="21">
        <f>E27/B27</f>
        <v>0.0781476219156826</v>
      </c>
      <c r="I29" s="21">
        <f>I27/$E$27</f>
        <v>0.38986987543255447</v>
      </c>
      <c r="J29" s="21">
        <f>J27/$E$27</f>
        <v>0.3701301278317947</v>
      </c>
      <c r="K29" s="21">
        <f>K27/$E$27</f>
        <v>0.10000000249086892</v>
      </c>
      <c r="L29" s="21">
        <f>L27/$E$27</f>
        <v>0.10000000249086892</v>
      </c>
      <c r="M29" s="21">
        <f>M27/$E$27</f>
        <v>0.04000000011143361</v>
      </c>
    </row>
    <row r="31" spans="1:13" s="23" customFormat="1" ht="12.75">
      <c r="A31" s="64" t="s">
        <v>20</v>
      </c>
      <c r="B31" s="65"/>
      <c r="C31" s="65"/>
      <c r="D31" s="65"/>
      <c r="E31" s="65"/>
      <c r="F31" s="65"/>
      <c r="G31" s="65"/>
      <c r="H31" s="65"/>
      <c r="I31" s="65"/>
      <c r="J31" s="65"/>
      <c r="K31" s="65"/>
      <c r="L31" s="65"/>
      <c r="M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87</v>
      </c>
      <c r="B36" s="26"/>
      <c r="C36" s="26" t="s">
        <v>51</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22</v>
      </c>
      <c r="B38" s="42"/>
      <c r="C38" s="43" t="s">
        <v>23</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24</v>
      </c>
      <c r="B40" s="42"/>
      <c r="C40" s="42" t="s">
        <v>52</v>
      </c>
      <c r="D40" s="46"/>
      <c r="E40" s="47"/>
      <c r="F40" s="42"/>
      <c r="G40" s="42"/>
      <c r="H40" s="42"/>
      <c r="I40" s="42"/>
      <c r="J40" s="42"/>
      <c r="K40" s="42"/>
      <c r="L40" s="42"/>
    </row>
    <row r="41" spans="1:12" s="45" customFormat="1" ht="12.75">
      <c r="A41" s="41"/>
      <c r="B41" s="42"/>
      <c r="C41" s="42" t="s">
        <v>53</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27</v>
      </c>
      <c r="B43" s="42"/>
      <c r="C43" s="42" t="s">
        <v>28</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65</v>
      </c>
      <c r="B45" s="42"/>
      <c r="C45" s="42" t="s">
        <v>68</v>
      </c>
      <c r="D45" s="46"/>
      <c r="E45" s="47"/>
      <c r="F45" s="42"/>
      <c r="G45" s="42"/>
      <c r="H45" s="42"/>
      <c r="I45" s="42"/>
      <c r="J45" s="42"/>
      <c r="K45" s="42"/>
      <c r="L45" s="42"/>
    </row>
    <row r="46" spans="1:12" s="45" customFormat="1" ht="12.75">
      <c r="A46" s="41"/>
      <c r="B46" s="42"/>
      <c r="C46" s="42" t="s">
        <v>75</v>
      </c>
      <c r="D46" s="46"/>
      <c r="E46" s="47"/>
      <c r="F46" s="42"/>
      <c r="G46" s="42"/>
      <c r="H46" s="42"/>
      <c r="I46" s="42"/>
      <c r="J46" s="42"/>
      <c r="K46" s="42"/>
      <c r="L46" s="42"/>
    </row>
    <row r="47" spans="1:12" s="45" customFormat="1" ht="12.75">
      <c r="A47" s="41"/>
      <c r="B47" s="42"/>
      <c r="C47" s="42" t="s">
        <v>76</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29</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77</v>
      </c>
      <c r="B52" s="42"/>
      <c r="C52" s="42" t="s">
        <v>70</v>
      </c>
      <c r="D52" s="46"/>
      <c r="E52" s="47"/>
      <c r="F52" s="42"/>
      <c r="G52" s="42"/>
      <c r="H52" s="42"/>
      <c r="I52" s="42"/>
      <c r="J52" s="42"/>
      <c r="K52" s="42"/>
      <c r="L52" s="42"/>
    </row>
    <row r="53" spans="1:12" s="45" customFormat="1" ht="12.75">
      <c r="A53" s="48"/>
      <c r="B53" s="42"/>
      <c r="C53" s="42" t="s">
        <v>71</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44</v>
      </c>
      <c r="B55" s="42"/>
      <c r="C55" s="42" t="s">
        <v>54</v>
      </c>
      <c r="D55" s="46"/>
      <c r="E55" s="47"/>
      <c r="F55" s="42"/>
      <c r="G55" s="42"/>
      <c r="H55" s="42"/>
      <c r="I55" s="42"/>
      <c r="J55" s="42"/>
      <c r="K55" s="42"/>
      <c r="L55" s="46"/>
    </row>
    <row r="56" spans="1:12" s="45" customFormat="1" ht="12.75">
      <c r="A56" s="48"/>
      <c r="B56" s="42"/>
      <c r="C56" s="42" t="s">
        <v>55</v>
      </c>
      <c r="D56" s="46"/>
      <c r="E56" s="47"/>
      <c r="F56" s="42"/>
      <c r="G56" s="42"/>
      <c r="H56" s="42"/>
      <c r="I56" s="42"/>
      <c r="J56" s="42"/>
      <c r="K56" s="42"/>
      <c r="L56" s="46"/>
    </row>
    <row r="57" spans="1:12" s="45" customFormat="1" ht="12.75">
      <c r="A57" s="48"/>
      <c r="B57" s="42"/>
      <c r="C57" s="42" t="s">
        <v>56</v>
      </c>
      <c r="D57" s="46"/>
      <c r="E57" s="47"/>
      <c r="F57" s="42"/>
      <c r="G57" s="42"/>
      <c r="H57" s="42"/>
      <c r="I57" s="42"/>
      <c r="J57" s="42"/>
      <c r="K57" s="42"/>
      <c r="L57" s="46"/>
    </row>
    <row r="58" spans="1:13" ht="12.75">
      <c r="A58" s="29"/>
      <c r="B58" s="30"/>
      <c r="C58" s="30"/>
      <c r="D58" s="26"/>
      <c r="E58" s="30"/>
      <c r="F58" s="31"/>
      <c r="G58" s="30"/>
      <c r="H58" s="30"/>
      <c r="I58" s="30"/>
      <c r="J58" s="30"/>
      <c r="K58" s="30"/>
      <c r="L58" s="30"/>
      <c r="M58" s="30"/>
    </row>
    <row r="59" spans="1:13" s="23" customFormat="1" ht="12.75">
      <c r="A59" s="64" t="s">
        <v>30</v>
      </c>
      <c r="B59" s="65"/>
      <c r="C59" s="65"/>
      <c r="D59" s="65"/>
      <c r="E59" s="65"/>
      <c r="F59" s="65"/>
      <c r="G59" s="65"/>
      <c r="H59" s="65"/>
      <c r="I59" s="65"/>
      <c r="J59" s="65"/>
      <c r="K59" s="65"/>
      <c r="L59" s="65"/>
      <c r="M59" s="66"/>
    </row>
    <row r="60" ht="12.75">
      <c r="A60" s="24"/>
    </row>
    <row r="61" spans="1:13" ht="13.5">
      <c r="A61" s="32"/>
      <c r="E61" s="10" t="s">
        <v>8</v>
      </c>
      <c r="F61" s="67" t="s">
        <v>78</v>
      </c>
      <c r="G61" s="67"/>
      <c r="H61" s="67"/>
      <c r="I61" s="67"/>
      <c r="J61" s="10" t="s">
        <v>9</v>
      </c>
      <c r="K61" s="53" t="s">
        <v>73</v>
      </c>
      <c r="L61" s="10" t="s">
        <v>42</v>
      </c>
      <c r="M61" s="34"/>
    </row>
    <row r="62" spans="1:13" ht="12.75">
      <c r="A62" s="35"/>
      <c r="E62" s="8" t="s">
        <v>16</v>
      </c>
      <c r="F62" s="8" t="s">
        <v>79</v>
      </c>
      <c r="G62" s="58" t="s">
        <v>80</v>
      </c>
      <c r="H62" s="57"/>
      <c r="I62" s="8" t="s">
        <v>81</v>
      </c>
      <c r="J62" s="8" t="s">
        <v>18</v>
      </c>
      <c r="K62" s="54" t="s">
        <v>74</v>
      </c>
      <c r="L62" s="8" t="s">
        <v>43</v>
      </c>
      <c r="M62" s="34"/>
    </row>
    <row r="63" spans="2:13" ht="12.75">
      <c r="B63" s="37" t="s">
        <v>31</v>
      </c>
      <c r="C63" s="37"/>
      <c r="E63" s="55">
        <v>0.37</v>
      </c>
      <c r="F63" s="55">
        <v>0.29</v>
      </c>
      <c r="G63" s="59">
        <v>0.0875</v>
      </c>
      <c r="H63" s="56"/>
      <c r="I63" s="55">
        <v>0.0125</v>
      </c>
      <c r="J63" s="55">
        <v>0.1</v>
      </c>
      <c r="K63" s="55">
        <v>0.1</v>
      </c>
      <c r="L63" s="55">
        <v>0.04</v>
      </c>
      <c r="M63" s="39"/>
    </row>
    <row r="64" spans="2:13" ht="12.75">
      <c r="B64" s="37" t="s">
        <v>46</v>
      </c>
      <c r="C64" s="37"/>
      <c r="E64" s="55">
        <v>0.48</v>
      </c>
      <c r="F64" s="55">
        <v>0.18</v>
      </c>
      <c r="G64" s="59">
        <v>0.0875</v>
      </c>
      <c r="H64" s="56"/>
      <c r="I64" s="55">
        <v>0.0125</v>
      </c>
      <c r="J64" s="55">
        <v>0.1</v>
      </c>
      <c r="K64" s="55">
        <v>0.1</v>
      </c>
      <c r="L64" s="55">
        <v>0.04</v>
      </c>
      <c r="M64" s="39"/>
    </row>
    <row r="65" spans="2:13" ht="12.75">
      <c r="B65" s="37" t="s">
        <v>47</v>
      </c>
      <c r="C65" s="37"/>
      <c r="E65" s="55">
        <v>0.52</v>
      </c>
      <c r="F65" s="55">
        <v>0.18</v>
      </c>
      <c r="G65" s="59">
        <v>0.0875</v>
      </c>
      <c r="H65" s="56"/>
      <c r="I65" s="55">
        <v>0.0125</v>
      </c>
      <c r="J65" s="55">
        <v>0.1</v>
      </c>
      <c r="K65" s="55">
        <v>0.1</v>
      </c>
      <c r="L65" s="55">
        <v>0</v>
      </c>
      <c r="M65" s="39"/>
    </row>
    <row r="66" spans="2:13" ht="12.75">
      <c r="B66" s="37" t="s">
        <v>33</v>
      </c>
      <c r="C66" s="37"/>
      <c r="E66" s="55">
        <v>0.54</v>
      </c>
      <c r="F66" s="55">
        <v>0.18</v>
      </c>
      <c r="G66" s="59">
        <v>0.0875</v>
      </c>
      <c r="H66" s="56"/>
      <c r="I66" s="55">
        <v>0.0125</v>
      </c>
      <c r="J66" s="55">
        <v>0.08</v>
      </c>
      <c r="K66" s="55">
        <v>0.1</v>
      </c>
      <c r="L66" s="55">
        <v>0</v>
      </c>
      <c r="M66" s="39"/>
    </row>
    <row r="67" spans="2:13" ht="12.75">
      <c r="B67" s="37" t="s">
        <v>34</v>
      </c>
      <c r="C67" s="37"/>
      <c r="E67" s="55">
        <v>0.57</v>
      </c>
      <c r="F67" s="55">
        <v>0.15</v>
      </c>
      <c r="G67" s="59">
        <v>0.0875</v>
      </c>
      <c r="H67" s="56"/>
      <c r="I67" s="55">
        <v>0.0125</v>
      </c>
      <c r="J67" s="55">
        <v>0.08</v>
      </c>
      <c r="K67" s="55">
        <v>0.1</v>
      </c>
      <c r="L67" s="55">
        <v>0</v>
      </c>
      <c r="M67" s="39"/>
    </row>
    <row r="68" ht="12.75">
      <c r="A68" s="24"/>
    </row>
    <row r="69" spans="1:13" s="23" customFormat="1" ht="12.75">
      <c r="A69" s="68" t="s">
        <v>37</v>
      </c>
      <c r="B69" s="69"/>
      <c r="C69" s="69"/>
      <c r="D69" s="69"/>
      <c r="E69" s="69"/>
      <c r="F69" s="69"/>
      <c r="G69" s="69"/>
      <c r="H69" s="69"/>
      <c r="I69" s="69"/>
      <c r="J69" s="69"/>
      <c r="K69" s="69"/>
      <c r="L69" s="69"/>
      <c r="M69" s="70"/>
    </row>
    <row r="70" spans="1:6" ht="12.75">
      <c r="A70" s="24"/>
      <c r="E70"/>
      <c r="F70" s="16"/>
    </row>
    <row r="71" spans="1:13" ht="49.5" customHeight="1">
      <c r="A71" s="71" t="s">
        <v>86</v>
      </c>
      <c r="B71" s="72"/>
      <c r="C71" s="72"/>
      <c r="D71" s="72"/>
      <c r="E71" s="72"/>
      <c r="F71" s="72"/>
      <c r="G71" s="72"/>
      <c r="H71" s="72"/>
      <c r="I71" s="72"/>
      <c r="J71" s="72"/>
      <c r="K71" s="72"/>
      <c r="L71" s="72"/>
      <c r="M71" s="72"/>
    </row>
    <row r="72" spans="1:6" ht="12.75">
      <c r="A72" s="16"/>
      <c r="E72"/>
      <c r="F72" s="16"/>
    </row>
    <row r="73" spans="2:5" ht="12.75">
      <c r="B73" s="24" t="s">
        <v>38</v>
      </c>
      <c r="C73" s="24"/>
      <c r="D73" s="24"/>
      <c r="E73" s="16">
        <v>104000</v>
      </c>
    </row>
    <row r="74" spans="2:5" ht="12.75">
      <c r="B74" s="24" t="s">
        <v>39</v>
      </c>
      <c r="C74" s="24"/>
      <c r="D74" s="24"/>
      <c r="E74" s="16">
        <v>184000</v>
      </c>
    </row>
    <row r="75" spans="2:5" ht="12.75">
      <c r="B75" s="16" t="s">
        <v>35</v>
      </c>
      <c r="E75" s="16" t="s">
        <v>35</v>
      </c>
    </row>
    <row r="76" ht="12.75">
      <c r="A76" s="28" t="s">
        <v>88</v>
      </c>
    </row>
  </sheetData>
  <sheetProtection/>
  <mergeCells count="12">
    <mergeCell ref="I10:M10"/>
    <mergeCell ref="A31:M31"/>
    <mergeCell ref="A59:M59"/>
    <mergeCell ref="F61:I61"/>
    <mergeCell ref="A69:M69"/>
    <mergeCell ref="A71:M71"/>
    <mergeCell ref="A1:M1"/>
    <mergeCell ref="A2:M2"/>
    <mergeCell ref="A3:M3"/>
    <mergeCell ref="A4:M4"/>
    <mergeCell ref="A5:M5"/>
    <mergeCell ref="A8:M8"/>
  </mergeCells>
  <hyperlinks>
    <hyperlink ref="A4" r:id="rId1" display="www.tiogadowns.com"/>
  </hyperlinks>
  <printOptions horizontalCentered="1"/>
  <pageMargins left="0.25" right="0.25" top="0.75" bottom="0.5" header="0.5" footer="0.5"/>
  <pageSetup fitToHeight="1" fitToWidth="1" horizontalDpi="600" verticalDpi="600" orientation="portrait" scale="74"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1" sqref="A1:M1"/>
    </sheetView>
  </sheetViews>
  <sheetFormatPr defaultColWidth="9.140625" defaultRowHeight="12.75"/>
  <cols>
    <col min="1" max="1" width="9.28125" style="3" customWidth="1"/>
    <col min="2" max="2" width="14.140625" style="16" customWidth="1"/>
    <col min="3" max="3" width="11.00390625" style="16" customWidth="1"/>
    <col min="4" max="4" width="13.57421875" style="16" customWidth="1"/>
    <col min="5" max="5" width="11.7109375" style="16" bestFit="1" customWidth="1"/>
    <col min="6" max="6" width="8.140625" style="17" customWidth="1"/>
    <col min="7" max="7" width="9.00390625" style="16" customWidth="1"/>
    <col min="8" max="8" width="1.421875" style="16" customWidth="1"/>
    <col min="9" max="9" width="12.00390625" style="16" customWidth="1"/>
    <col min="10" max="10" width="12.140625" style="16" customWidth="1"/>
    <col min="11" max="12" width="12.8515625" style="16" bestFit="1" customWidth="1"/>
    <col min="13" max="13" width="11.00390625" style="16" customWidth="1"/>
    <col min="14" max="14" width="12.7109375" style="0" customWidth="1"/>
  </cols>
  <sheetData>
    <row r="1" spans="1:13" ht="18">
      <c r="A1" s="60" t="s">
        <v>48</v>
      </c>
      <c r="B1" s="60"/>
      <c r="C1" s="60"/>
      <c r="D1" s="60"/>
      <c r="E1" s="60"/>
      <c r="F1" s="60"/>
      <c r="G1" s="60"/>
      <c r="H1" s="60"/>
      <c r="I1" s="60"/>
      <c r="J1" s="60"/>
      <c r="K1" s="60"/>
      <c r="L1" s="60"/>
      <c r="M1" s="60"/>
    </row>
    <row r="2" spans="1:13" ht="15">
      <c r="A2" s="61" t="s">
        <v>0</v>
      </c>
      <c r="B2" s="61"/>
      <c r="C2" s="61"/>
      <c r="D2" s="61"/>
      <c r="E2" s="61"/>
      <c r="F2" s="61"/>
      <c r="G2" s="61"/>
      <c r="H2" s="61"/>
      <c r="I2" s="61"/>
      <c r="J2" s="61"/>
      <c r="K2" s="61"/>
      <c r="L2" s="61"/>
      <c r="M2" s="61"/>
    </row>
    <row r="3" spans="1:13" s="1" customFormat="1" ht="15">
      <c r="A3" s="61" t="s">
        <v>1</v>
      </c>
      <c r="B3" s="61"/>
      <c r="C3" s="61"/>
      <c r="D3" s="61"/>
      <c r="E3" s="61"/>
      <c r="F3" s="61"/>
      <c r="G3" s="61"/>
      <c r="H3" s="61"/>
      <c r="I3" s="61"/>
      <c r="J3" s="61"/>
      <c r="K3" s="61"/>
      <c r="L3" s="61"/>
      <c r="M3" s="61"/>
    </row>
    <row r="4" spans="1:13" s="1" customFormat="1" ht="14.25" customHeight="1">
      <c r="A4" s="62" t="s">
        <v>2</v>
      </c>
      <c r="B4" s="62"/>
      <c r="C4" s="62"/>
      <c r="D4" s="62"/>
      <c r="E4" s="62"/>
      <c r="F4" s="62"/>
      <c r="G4" s="62"/>
      <c r="H4" s="62"/>
      <c r="I4" s="62"/>
      <c r="J4" s="62"/>
      <c r="K4" s="62"/>
      <c r="L4" s="62"/>
      <c r="M4" s="62"/>
    </row>
    <row r="5" spans="1:13" s="1" customFormat="1" ht="14.25">
      <c r="A5" s="63" t="s">
        <v>3</v>
      </c>
      <c r="B5" s="63"/>
      <c r="C5" s="63"/>
      <c r="D5" s="63"/>
      <c r="E5" s="63"/>
      <c r="F5" s="63"/>
      <c r="G5" s="63"/>
      <c r="H5" s="63"/>
      <c r="I5" s="63"/>
      <c r="J5" s="63"/>
      <c r="K5" s="63"/>
      <c r="L5" s="63"/>
      <c r="M5" s="6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64" t="s">
        <v>64</v>
      </c>
      <c r="B8" s="65"/>
      <c r="C8" s="65"/>
      <c r="D8" s="65"/>
      <c r="E8" s="65"/>
      <c r="F8" s="65"/>
      <c r="G8" s="65"/>
      <c r="H8" s="65"/>
      <c r="I8" s="65"/>
      <c r="J8" s="65"/>
      <c r="K8" s="65"/>
      <c r="L8" s="65"/>
      <c r="M8" s="6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67" t="s">
        <v>4</v>
      </c>
      <c r="J10" s="67"/>
      <c r="K10" s="67"/>
      <c r="L10" s="67"/>
      <c r="M10" s="67"/>
    </row>
    <row r="11" spans="1:13" s="1" customFormat="1" ht="12.75">
      <c r="A11" s="3"/>
      <c r="B11" s="5"/>
      <c r="C11" s="10"/>
      <c r="D11" s="5"/>
      <c r="E11" s="5"/>
      <c r="F11" s="6"/>
      <c r="G11" s="5"/>
      <c r="H11" s="5"/>
      <c r="I11" s="5"/>
      <c r="J11" s="5"/>
      <c r="K11" s="5"/>
      <c r="L11" s="5"/>
      <c r="M11" s="5"/>
    </row>
    <row r="12" spans="1:13" s="12" customFormat="1" ht="12">
      <c r="A12" s="9"/>
      <c r="B12" s="10" t="s">
        <v>5</v>
      </c>
      <c r="C12" s="15" t="s">
        <v>57</v>
      </c>
      <c r="D12" s="10" t="s">
        <v>5</v>
      </c>
      <c r="E12" s="10"/>
      <c r="F12" s="11" t="s">
        <v>6</v>
      </c>
      <c r="G12" s="10" t="s">
        <v>7</v>
      </c>
      <c r="H12" s="10"/>
      <c r="I12" s="10" t="s">
        <v>8</v>
      </c>
      <c r="J12" s="10" t="s">
        <v>72</v>
      </c>
      <c r="K12" s="10" t="s">
        <v>9</v>
      </c>
      <c r="L12" s="10" t="s">
        <v>73</v>
      </c>
      <c r="M12" s="10" t="s">
        <v>42</v>
      </c>
    </row>
    <row r="13" spans="1:13" s="12" customFormat="1" ht="12">
      <c r="A13" s="13" t="s">
        <v>10</v>
      </c>
      <c r="B13" s="8" t="s">
        <v>11</v>
      </c>
      <c r="C13" s="8" t="s">
        <v>18</v>
      </c>
      <c r="D13" s="8" t="s">
        <v>12</v>
      </c>
      <c r="E13" s="8" t="s">
        <v>13</v>
      </c>
      <c r="F13" s="14" t="s">
        <v>14</v>
      </c>
      <c r="G13" s="8" t="s">
        <v>15</v>
      </c>
      <c r="H13" s="15"/>
      <c r="I13" s="8" t="s">
        <v>16</v>
      </c>
      <c r="J13" s="8" t="s">
        <v>17</v>
      </c>
      <c r="K13" s="8" t="s">
        <v>18</v>
      </c>
      <c r="L13" s="8" t="s">
        <v>74</v>
      </c>
      <c r="M13" s="8" t="s">
        <v>43</v>
      </c>
    </row>
    <row r="15" spans="1:13" ht="12.75">
      <c r="A15" s="3">
        <v>40634</v>
      </c>
      <c r="B15" s="16">
        <v>64468040.86</v>
      </c>
      <c r="C15" s="16">
        <v>427373.14</v>
      </c>
      <c r="D15" s="16">
        <f aca="true" t="shared" si="0" ref="D15:D26">B15-C15-E15</f>
        <v>59060150.98</v>
      </c>
      <c r="E15" s="16">
        <v>4980516.74</v>
      </c>
      <c r="F15" s="17">
        <v>808</v>
      </c>
      <c r="G15" s="16">
        <f>E15/F15/30</f>
        <v>205.46686221122113</v>
      </c>
      <c r="I15" s="16">
        <v>1842791.18</v>
      </c>
      <c r="J15" s="16">
        <v>1942401.53</v>
      </c>
      <c r="K15" s="16">
        <v>498051.69</v>
      </c>
      <c r="L15" s="16">
        <v>498051.69</v>
      </c>
      <c r="M15" s="16">
        <v>199220.66</v>
      </c>
    </row>
    <row r="16" spans="1:13" ht="12.75">
      <c r="A16" s="3">
        <v>40664</v>
      </c>
      <c r="B16" s="16">
        <v>62991224.78</v>
      </c>
      <c r="C16" s="16">
        <v>479527.72</v>
      </c>
      <c r="D16" s="16">
        <f t="shared" si="0"/>
        <v>57654097.68</v>
      </c>
      <c r="E16" s="16">
        <v>4857599.38</v>
      </c>
      <c r="F16" s="17">
        <v>808</v>
      </c>
      <c r="G16" s="16">
        <f>E16/F16/31</f>
        <v>193.93162647716386</v>
      </c>
      <c r="I16" s="16">
        <v>1797311.76</v>
      </c>
      <c r="J16" s="16">
        <v>1894463.76</v>
      </c>
      <c r="K16" s="16">
        <v>485759.95</v>
      </c>
      <c r="L16" s="16">
        <v>485759.95</v>
      </c>
      <c r="M16" s="16">
        <v>194303.99</v>
      </c>
    </row>
    <row r="17" spans="1:13" ht="12.75">
      <c r="A17" s="3">
        <v>40695</v>
      </c>
      <c r="B17" s="16">
        <v>62752156.19</v>
      </c>
      <c r="C17" s="16">
        <v>533911.08</v>
      </c>
      <c r="D17" s="16">
        <f t="shared" si="0"/>
        <v>57457694.64</v>
      </c>
      <c r="E17" s="16">
        <v>4760550.47</v>
      </c>
      <c r="F17" s="17">
        <v>805.3333333333334</v>
      </c>
      <c r="G17" s="16">
        <f>E17/F17/30</f>
        <v>197.04265190397348</v>
      </c>
      <c r="I17" s="16">
        <v>1761403.7</v>
      </c>
      <c r="J17" s="16">
        <v>1856614.68</v>
      </c>
      <c r="K17" s="16">
        <v>476055.06</v>
      </c>
      <c r="L17" s="16">
        <v>476055.06</v>
      </c>
      <c r="M17" s="16">
        <v>190422.03</v>
      </c>
    </row>
    <row r="18" spans="1:13" ht="12.75">
      <c r="A18" s="3">
        <v>40725</v>
      </c>
      <c r="B18" s="16">
        <v>72239179.57</v>
      </c>
      <c r="C18" s="16">
        <v>633887.63</v>
      </c>
      <c r="D18" s="16">
        <f t="shared" si="0"/>
        <v>66223109.32</v>
      </c>
      <c r="E18" s="16">
        <v>5382182.62</v>
      </c>
      <c r="F18" s="17">
        <v>800</v>
      </c>
      <c r="G18" s="16">
        <f>E18/F18/31</f>
        <v>217.02349274193548</v>
      </c>
      <c r="I18" s="16">
        <v>1991407.58</v>
      </c>
      <c r="J18" s="16">
        <v>2099051.21</v>
      </c>
      <c r="K18" s="16">
        <v>538218.23</v>
      </c>
      <c r="L18" s="16">
        <v>538218.23</v>
      </c>
      <c r="M18" s="16">
        <v>215287.32</v>
      </c>
    </row>
    <row r="19" spans="1:13" ht="12.75">
      <c r="A19" s="3">
        <v>40756</v>
      </c>
      <c r="B19" s="16">
        <v>67383676.19</v>
      </c>
      <c r="C19" s="16">
        <v>604635.12</v>
      </c>
      <c r="D19" s="16">
        <f t="shared" si="0"/>
        <v>61711353.43</v>
      </c>
      <c r="E19" s="16">
        <v>5067687.64</v>
      </c>
      <c r="F19" s="17">
        <v>800</v>
      </c>
      <c r="G19" s="16">
        <f>E19/F19/31</f>
        <v>204.34224354838707</v>
      </c>
      <c r="I19" s="16">
        <v>1875044.43</v>
      </c>
      <c r="J19" s="16">
        <v>1976398.18</v>
      </c>
      <c r="K19" s="16">
        <v>506768.8</v>
      </c>
      <c r="L19" s="16">
        <v>506768.8</v>
      </c>
      <c r="M19" s="16">
        <v>202707.51</v>
      </c>
    </row>
    <row r="20" spans="1:13" ht="12.75">
      <c r="A20" s="3">
        <v>40787</v>
      </c>
      <c r="B20" s="16">
        <v>53459441.43</v>
      </c>
      <c r="C20" s="16">
        <f>457889.17-6305</f>
        <v>451584.17</v>
      </c>
      <c r="D20" s="16">
        <f t="shared" si="0"/>
        <v>49017705.8</v>
      </c>
      <c r="E20" s="16">
        <v>3990151.46</v>
      </c>
      <c r="F20" s="17">
        <v>800</v>
      </c>
      <c r="G20" s="16">
        <f>E20/F20/30</f>
        <v>166.25631083333334</v>
      </c>
      <c r="I20" s="16">
        <v>1476356.03</v>
      </c>
      <c r="J20" s="16">
        <v>1556159.06</v>
      </c>
      <c r="K20" s="16">
        <v>399015.16</v>
      </c>
      <c r="L20" s="16">
        <v>399015.16</v>
      </c>
      <c r="M20" s="16">
        <v>159606.06</v>
      </c>
    </row>
    <row r="21" spans="1:13" ht="12.75">
      <c r="A21" s="3">
        <v>40817</v>
      </c>
      <c r="B21" s="16">
        <v>66038566.63</v>
      </c>
      <c r="C21" s="16">
        <f>530205.37-7245</f>
        <v>522960.37</v>
      </c>
      <c r="D21" s="16">
        <f t="shared" si="0"/>
        <v>60457985.480000004</v>
      </c>
      <c r="E21" s="16">
        <v>5057620.78</v>
      </c>
      <c r="F21" s="17">
        <v>800</v>
      </c>
      <c r="G21" s="16">
        <f>E21/F21/31</f>
        <v>203.93632177419357</v>
      </c>
      <c r="I21" s="16">
        <v>1871319.68</v>
      </c>
      <c r="J21" s="16">
        <v>1972472.1</v>
      </c>
      <c r="K21" s="16">
        <v>505762.13</v>
      </c>
      <c r="L21" s="16">
        <v>505762.13</v>
      </c>
      <c r="M21" s="16">
        <v>202304.85</v>
      </c>
    </row>
    <row r="22" spans="1:13" ht="12.75">
      <c r="A22" s="3">
        <v>40848</v>
      </c>
      <c r="B22" s="16">
        <v>61592306.1</v>
      </c>
      <c r="C22" s="16">
        <f>499118.11-9675</f>
        <v>489443.11</v>
      </c>
      <c r="D22" s="16">
        <f t="shared" si="0"/>
        <v>56377523.02</v>
      </c>
      <c r="E22" s="16">
        <v>4725339.97</v>
      </c>
      <c r="F22" s="17">
        <v>800</v>
      </c>
      <c r="G22" s="16">
        <f>E22/F22/30</f>
        <v>196.88916541666666</v>
      </c>
      <c r="I22" s="16">
        <v>1748375.78</v>
      </c>
      <c r="J22" s="16">
        <v>1842882.58</v>
      </c>
      <c r="K22" s="16">
        <v>472534.01</v>
      </c>
      <c r="L22" s="16">
        <v>472534.01</v>
      </c>
      <c r="M22" s="16">
        <v>189013.6</v>
      </c>
    </row>
    <row r="23" spans="1:13" ht="12.75">
      <c r="A23" s="3">
        <v>40878</v>
      </c>
      <c r="B23" s="16">
        <v>62170178.81</v>
      </c>
      <c r="C23" s="16">
        <f>516777.93-18805</f>
        <v>497972.93</v>
      </c>
      <c r="D23" s="16">
        <f t="shared" si="0"/>
        <v>56792256.300000004</v>
      </c>
      <c r="E23" s="16">
        <v>4879949.58</v>
      </c>
      <c r="F23" s="17">
        <v>801.6774193548387</v>
      </c>
      <c r="G23" s="16">
        <f>E23/F23/31</f>
        <v>196.36043698696284</v>
      </c>
      <c r="I23" s="16">
        <v>1805581.33</v>
      </c>
      <c r="J23" s="16">
        <v>1903180.33</v>
      </c>
      <c r="K23" s="16">
        <v>487994.98</v>
      </c>
      <c r="L23" s="16">
        <v>487994.98</v>
      </c>
      <c r="M23" s="16">
        <v>195197.99</v>
      </c>
    </row>
    <row r="24" spans="1:13" ht="12.75">
      <c r="A24" s="3">
        <v>40909</v>
      </c>
      <c r="B24" s="16">
        <v>60658571.62</v>
      </c>
      <c r="C24" s="16">
        <f>433253.27-4010</f>
        <v>429243.27</v>
      </c>
      <c r="D24" s="16">
        <f t="shared" si="0"/>
        <v>55621113.059999995</v>
      </c>
      <c r="E24" s="16">
        <v>4608215.29</v>
      </c>
      <c r="F24" s="17">
        <v>802</v>
      </c>
      <c r="G24" s="16">
        <f>E24/F24/31</f>
        <v>185.3517532780951</v>
      </c>
      <c r="I24" s="16">
        <v>1705039.66</v>
      </c>
      <c r="J24" s="16">
        <v>1797203.94</v>
      </c>
      <c r="K24" s="16">
        <v>460821.55</v>
      </c>
      <c r="L24" s="16">
        <v>460821.55</v>
      </c>
      <c r="M24" s="16">
        <v>184328.6</v>
      </c>
    </row>
    <row r="25" spans="1:13" ht="12.75">
      <c r="A25" s="3">
        <v>40940</v>
      </c>
      <c r="B25" s="16">
        <v>67135353.05</v>
      </c>
      <c r="C25" s="16">
        <f>445767.35-2950</f>
        <v>442817.35</v>
      </c>
      <c r="D25" s="16">
        <f t="shared" si="0"/>
        <v>61286857.24999999</v>
      </c>
      <c r="E25" s="16">
        <v>5405678.45</v>
      </c>
      <c r="F25" s="17">
        <v>802</v>
      </c>
      <c r="G25" s="16">
        <f>E25/F25/29</f>
        <v>232.42232565138877</v>
      </c>
      <c r="I25" s="16">
        <f>2408805.14-25.54</f>
        <v>2408779.6</v>
      </c>
      <c r="J25" s="16">
        <v>1699535.96</v>
      </c>
      <c r="K25" s="16">
        <v>540567.88</v>
      </c>
      <c r="L25" s="16">
        <v>540567.88</v>
      </c>
      <c r="M25" s="16">
        <v>216227.12</v>
      </c>
    </row>
    <row r="26" spans="1:13" ht="12.75">
      <c r="A26" s="3">
        <v>40969</v>
      </c>
      <c r="B26" s="16">
        <v>73130415.35</v>
      </c>
      <c r="C26" s="16">
        <f>476285.55-10030</f>
        <v>466255.55</v>
      </c>
      <c r="D26" s="16">
        <f t="shared" si="0"/>
        <v>66809758.04</v>
      </c>
      <c r="E26" s="16">
        <v>5854401.76</v>
      </c>
      <c r="F26" s="17">
        <v>802</v>
      </c>
      <c r="G26" s="16">
        <f>E26/F26/31</f>
        <v>235.4758973533907</v>
      </c>
      <c r="I26" s="16">
        <v>2810112.86</v>
      </c>
      <c r="J26" s="16">
        <v>1639232.49</v>
      </c>
      <c r="K26" s="16">
        <v>585440.2</v>
      </c>
      <c r="L26" s="16">
        <v>585440.2</v>
      </c>
      <c r="M26" s="16">
        <v>234176.11</v>
      </c>
    </row>
    <row r="27" spans="1:13" ht="13.5" thickBot="1">
      <c r="A27" s="3" t="s">
        <v>19</v>
      </c>
      <c r="B27" s="18">
        <f>SUM(B15:B26)</f>
        <v>774019110.5799999</v>
      </c>
      <c r="C27" s="18">
        <f>SUM(C15:C26)</f>
        <v>5979611.439999999</v>
      </c>
      <c r="D27" s="18">
        <f>SUM(D15:D26)</f>
        <v>708469605</v>
      </c>
      <c r="E27" s="18">
        <f>SUM(E15:E26)</f>
        <v>59569894.14</v>
      </c>
      <c r="I27" s="18">
        <f>SUM(I15:I26)</f>
        <v>23093523.59</v>
      </c>
      <c r="J27" s="18">
        <f>SUM(J15:J26)</f>
        <v>22179595.82</v>
      </c>
      <c r="K27" s="18">
        <f>SUM(K15:K26)</f>
        <v>5956989.64</v>
      </c>
      <c r="L27" s="18">
        <f>SUM(L15:L26)</f>
        <v>5956989.64</v>
      </c>
      <c r="M27" s="18">
        <f>SUM(M15:M26)</f>
        <v>2382795.8400000003</v>
      </c>
    </row>
    <row r="28" spans="2:13" ht="10.5" customHeight="1" thickTop="1">
      <c r="B28" s="19"/>
      <c r="C28" s="19"/>
      <c r="D28" s="19"/>
      <c r="E28" s="19"/>
      <c r="I28" s="19"/>
      <c r="J28" s="19"/>
      <c r="K28" s="19"/>
      <c r="L28" s="19"/>
      <c r="M28" s="19"/>
    </row>
    <row r="29" spans="1:13" s="22" customFormat="1" ht="12.75">
      <c r="A29" s="20"/>
      <c r="B29" s="21"/>
      <c r="C29" s="21">
        <f>C27/B27</f>
        <v>0.007725405430260325</v>
      </c>
      <c r="D29" s="21">
        <f>D27/B27</f>
        <v>0.9153128072885934</v>
      </c>
      <c r="E29" s="21">
        <f>E27/B27</f>
        <v>0.07696178728114629</v>
      </c>
      <c r="I29" s="21">
        <f>I27/$E$27</f>
        <v>0.3876710530276594</v>
      </c>
      <c r="J29" s="21">
        <f>J27/$E$27</f>
        <v>0.3723289446825933</v>
      </c>
      <c r="K29" s="21">
        <f>K27/$E$27</f>
        <v>0.1000000037938627</v>
      </c>
      <c r="L29" s="21">
        <f>L27/$E$27</f>
        <v>0.1000000037938627</v>
      </c>
      <c r="M29" s="21">
        <f>M27/$E$27</f>
        <v>0.04000000124895304</v>
      </c>
    </row>
    <row r="31" spans="1:13" s="23" customFormat="1" ht="12.75">
      <c r="A31" s="64" t="s">
        <v>20</v>
      </c>
      <c r="B31" s="65"/>
      <c r="C31" s="65"/>
      <c r="D31" s="65"/>
      <c r="E31" s="65"/>
      <c r="F31" s="65"/>
      <c r="G31" s="65"/>
      <c r="H31" s="65"/>
      <c r="I31" s="65"/>
      <c r="J31" s="65"/>
      <c r="K31" s="65"/>
      <c r="L31" s="65"/>
      <c r="M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87</v>
      </c>
      <c r="B36" s="26"/>
      <c r="C36" s="26" t="s">
        <v>51</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22</v>
      </c>
      <c r="B38" s="42"/>
      <c r="C38" s="43" t="s">
        <v>23</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24</v>
      </c>
      <c r="B40" s="42"/>
      <c r="C40" s="42" t="s">
        <v>52</v>
      </c>
      <c r="D40" s="46"/>
      <c r="E40" s="47"/>
      <c r="F40" s="42"/>
      <c r="G40" s="42"/>
      <c r="H40" s="42"/>
      <c r="I40" s="42"/>
      <c r="J40" s="42"/>
      <c r="K40" s="42"/>
      <c r="L40" s="42"/>
    </row>
    <row r="41" spans="1:12" s="45" customFormat="1" ht="12.75">
      <c r="A41" s="41"/>
      <c r="B41" s="42"/>
      <c r="C41" s="42" t="s">
        <v>53</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27</v>
      </c>
      <c r="B43" s="42"/>
      <c r="C43" s="42" t="s">
        <v>28</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65</v>
      </c>
      <c r="B45" s="42"/>
      <c r="C45" s="42" t="s">
        <v>68</v>
      </c>
      <c r="D45" s="46"/>
      <c r="E45" s="47"/>
      <c r="F45" s="42"/>
      <c r="G45" s="42"/>
      <c r="H45" s="42"/>
      <c r="I45" s="42"/>
      <c r="J45" s="42"/>
      <c r="K45" s="42"/>
      <c r="L45" s="42"/>
    </row>
    <row r="46" spans="1:12" s="45" customFormat="1" ht="12.75">
      <c r="A46" s="41"/>
      <c r="B46" s="42"/>
      <c r="C46" s="42" t="s">
        <v>75</v>
      </c>
      <c r="D46" s="46"/>
      <c r="E46" s="47"/>
      <c r="F46" s="42"/>
      <c r="G46" s="42"/>
      <c r="H46" s="42"/>
      <c r="I46" s="42"/>
      <c r="J46" s="42"/>
      <c r="K46" s="42"/>
      <c r="L46" s="42"/>
    </row>
    <row r="47" spans="1:12" s="45" customFormat="1" ht="12.75">
      <c r="A47" s="41"/>
      <c r="B47" s="42"/>
      <c r="C47" s="42" t="s">
        <v>76</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29</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77</v>
      </c>
      <c r="B52" s="42"/>
      <c r="C52" s="42" t="s">
        <v>70</v>
      </c>
      <c r="D52" s="46"/>
      <c r="E52" s="47"/>
      <c r="F52" s="42"/>
      <c r="G52" s="42"/>
      <c r="H52" s="42"/>
      <c r="I52" s="42"/>
      <c r="J52" s="42"/>
      <c r="K52" s="42"/>
      <c r="L52" s="42"/>
    </row>
    <row r="53" spans="1:12" s="45" customFormat="1" ht="12.75">
      <c r="A53" s="48"/>
      <c r="B53" s="42"/>
      <c r="C53" s="42" t="s">
        <v>71</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44</v>
      </c>
      <c r="B55" s="42"/>
      <c r="C55" s="42" t="s">
        <v>54</v>
      </c>
      <c r="D55" s="46"/>
      <c r="E55" s="47"/>
      <c r="F55" s="42"/>
      <c r="G55" s="42"/>
      <c r="H55" s="42"/>
      <c r="I55" s="42"/>
      <c r="J55" s="42"/>
      <c r="K55" s="42"/>
      <c r="L55" s="46"/>
    </row>
    <row r="56" spans="1:12" s="45" customFormat="1" ht="12.75">
      <c r="A56" s="48"/>
      <c r="B56" s="42"/>
      <c r="C56" s="42" t="s">
        <v>55</v>
      </c>
      <c r="D56" s="46"/>
      <c r="E56" s="47"/>
      <c r="F56" s="42"/>
      <c r="G56" s="42"/>
      <c r="H56" s="42"/>
      <c r="I56" s="42"/>
      <c r="J56" s="42"/>
      <c r="K56" s="42"/>
      <c r="L56" s="46"/>
    </row>
    <row r="57" spans="1:12" s="45" customFormat="1" ht="12.75">
      <c r="A57" s="48"/>
      <c r="B57" s="42"/>
      <c r="C57" s="42" t="s">
        <v>56</v>
      </c>
      <c r="D57" s="46"/>
      <c r="E57" s="47"/>
      <c r="F57" s="42"/>
      <c r="G57" s="42"/>
      <c r="H57" s="42"/>
      <c r="I57" s="42"/>
      <c r="J57" s="42"/>
      <c r="K57" s="42"/>
      <c r="L57" s="46"/>
    </row>
    <row r="58" spans="1:13" ht="12.75">
      <c r="A58" s="29"/>
      <c r="B58" s="30"/>
      <c r="C58" s="30"/>
      <c r="D58" s="26"/>
      <c r="E58" s="30"/>
      <c r="F58" s="31"/>
      <c r="G58" s="30"/>
      <c r="H58" s="30"/>
      <c r="I58" s="30"/>
      <c r="J58" s="30"/>
      <c r="K58" s="30"/>
      <c r="L58" s="30"/>
      <c r="M58" s="30"/>
    </row>
    <row r="59" spans="1:13" s="23" customFormat="1" ht="12.75">
      <c r="A59" s="64" t="s">
        <v>30</v>
      </c>
      <c r="B59" s="65"/>
      <c r="C59" s="65"/>
      <c r="D59" s="65"/>
      <c r="E59" s="65"/>
      <c r="F59" s="65"/>
      <c r="G59" s="65"/>
      <c r="H59" s="65"/>
      <c r="I59" s="65"/>
      <c r="J59" s="65"/>
      <c r="K59" s="65"/>
      <c r="L59" s="65"/>
      <c r="M59" s="66"/>
    </row>
    <row r="60" ht="12.75">
      <c r="A60" s="24"/>
    </row>
    <row r="61" spans="1:13" ht="13.5">
      <c r="A61" s="32"/>
      <c r="E61" s="10" t="s">
        <v>8</v>
      </c>
      <c r="F61" s="67" t="s">
        <v>78</v>
      </c>
      <c r="G61" s="67"/>
      <c r="H61" s="67"/>
      <c r="I61" s="67"/>
      <c r="J61" s="10" t="s">
        <v>9</v>
      </c>
      <c r="K61" s="53" t="s">
        <v>73</v>
      </c>
      <c r="L61" s="10" t="s">
        <v>42</v>
      </c>
      <c r="M61" s="34"/>
    </row>
    <row r="62" spans="1:13" ht="12.75">
      <c r="A62" s="35"/>
      <c r="E62" s="8" t="s">
        <v>16</v>
      </c>
      <c r="F62" s="8" t="s">
        <v>79</v>
      </c>
      <c r="G62" s="58" t="s">
        <v>80</v>
      </c>
      <c r="H62" s="57"/>
      <c r="I62" s="8" t="s">
        <v>81</v>
      </c>
      <c r="J62" s="8" t="s">
        <v>18</v>
      </c>
      <c r="K62" s="54" t="s">
        <v>74</v>
      </c>
      <c r="L62" s="8" t="s">
        <v>43</v>
      </c>
      <c r="M62" s="34"/>
    </row>
    <row r="63" spans="2:13" ht="12.75">
      <c r="B63" s="37" t="s">
        <v>31</v>
      </c>
      <c r="C63" s="37"/>
      <c r="E63" s="55">
        <v>0.37</v>
      </c>
      <c r="F63" s="55">
        <v>0.29</v>
      </c>
      <c r="G63" s="59">
        <v>0.0875</v>
      </c>
      <c r="H63" s="56"/>
      <c r="I63" s="55">
        <v>0.0125</v>
      </c>
      <c r="J63" s="55">
        <v>0.1</v>
      </c>
      <c r="K63" s="55">
        <v>0.1</v>
      </c>
      <c r="L63" s="55">
        <v>0.04</v>
      </c>
      <c r="M63" s="39"/>
    </row>
    <row r="64" spans="2:13" ht="12.75">
      <c r="B64" s="37" t="s">
        <v>46</v>
      </c>
      <c r="C64" s="37"/>
      <c r="E64" s="55">
        <v>0.48</v>
      </c>
      <c r="F64" s="55">
        <v>0.18</v>
      </c>
      <c r="G64" s="59">
        <v>0.0875</v>
      </c>
      <c r="H64" s="56"/>
      <c r="I64" s="55">
        <v>0.0125</v>
      </c>
      <c r="J64" s="55">
        <v>0.1</v>
      </c>
      <c r="K64" s="55">
        <v>0.1</v>
      </c>
      <c r="L64" s="55">
        <v>0.04</v>
      </c>
      <c r="M64" s="39"/>
    </row>
    <row r="65" spans="2:13" ht="12.75">
      <c r="B65" s="37" t="s">
        <v>47</v>
      </c>
      <c r="C65" s="37"/>
      <c r="E65" s="55">
        <v>0.52</v>
      </c>
      <c r="F65" s="55">
        <v>0.18</v>
      </c>
      <c r="G65" s="59">
        <v>0.0875</v>
      </c>
      <c r="H65" s="56"/>
      <c r="I65" s="55">
        <v>0.0125</v>
      </c>
      <c r="J65" s="55">
        <v>0.1</v>
      </c>
      <c r="K65" s="55">
        <v>0.1</v>
      </c>
      <c r="L65" s="55">
        <v>0</v>
      </c>
      <c r="M65" s="39"/>
    </row>
    <row r="66" spans="2:13" ht="12.75">
      <c r="B66" s="37" t="s">
        <v>33</v>
      </c>
      <c r="C66" s="37"/>
      <c r="E66" s="55">
        <v>0.54</v>
      </c>
      <c r="F66" s="55">
        <v>0.18</v>
      </c>
      <c r="G66" s="59">
        <v>0.0875</v>
      </c>
      <c r="H66" s="56"/>
      <c r="I66" s="55">
        <v>0.0125</v>
      </c>
      <c r="J66" s="55">
        <v>0.08</v>
      </c>
      <c r="K66" s="55">
        <v>0.1</v>
      </c>
      <c r="L66" s="55">
        <v>0</v>
      </c>
      <c r="M66" s="39"/>
    </row>
    <row r="67" spans="2:13" ht="12.75">
      <c r="B67" s="37" t="s">
        <v>34</v>
      </c>
      <c r="C67" s="37"/>
      <c r="E67" s="55">
        <v>0.57</v>
      </c>
      <c r="F67" s="55">
        <v>0.15</v>
      </c>
      <c r="G67" s="59">
        <v>0.0875</v>
      </c>
      <c r="H67" s="56"/>
      <c r="I67" s="55">
        <v>0.0125</v>
      </c>
      <c r="J67" s="55">
        <v>0.08</v>
      </c>
      <c r="K67" s="55">
        <v>0.1</v>
      </c>
      <c r="L67" s="55">
        <v>0</v>
      </c>
      <c r="M67" s="39"/>
    </row>
    <row r="68" ht="12.75">
      <c r="A68" s="24"/>
    </row>
    <row r="69" spans="1:13" s="23" customFormat="1" ht="12.75">
      <c r="A69" s="68" t="s">
        <v>37</v>
      </c>
      <c r="B69" s="69"/>
      <c r="C69" s="69"/>
      <c r="D69" s="69"/>
      <c r="E69" s="69"/>
      <c r="F69" s="69"/>
      <c r="G69" s="69"/>
      <c r="H69" s="69"/>
      <c r="I69" s="69"/>
      <c r="J69" s="69"/>
      <c r="K69" s="69"/>
      <c r="L69" s="69"/>
      <c r="M69" s="70"/>
    </row>
    <row r="70" spans="1:6" ht="12.75">
      <c r="A70" s="24"/>
      <c r="E70"/>
      <c r="F70" s="16"/>
    </row>
    <row r="71" spans="1:13" ht="49.5" customHeight="1">
      <c r="A71" s="71" t="s">
        <v>82</v>
      </c>
      <c r="B71" s="72"/>
      <c r="C71" s="72"/>
      <c r="D71" s="72"/>
      <c r="E71" s="72"/>
      <c r="F71" s="72"/>
      <c r="G71" s="72"/>
      <c r="H71" s="72"/>
      <c r="I71" s="72"/>
      <c r="J71" s="72"/>
      <c r="K71" s="72"/>
      <c r="L71" s="72"/>
      <c r="M71" s="72"/>
    </row>
    <row r="72" spans="1:6" ht="12.75">
      <c r="A72" s="16"/>
      <c r="E72"/>
      <c r="F72" s="16"/>
    </row>
    <row r="73" spans="2:5" ht="12.75">
      <c r="B73" s="24" t="s">
        <v>38</v>
      </c>
      <c r="C73" s="24"/>
      <c r="D73" s="24"/>
      <c r="E73" s="16">
        <v>104000</v>
      </c>
    </row>
    <row r="74" spans="2:5" ht="12.75">
      <c r="B74" s="24" t="s">
        <v>39</v>
      </c>
      <c r="C74" s="24"/>
      <c r="D74" s="24"/>
      <c r="E74" s="16">
        <v>184000</v>
      </c>
    </row>
    <row r="75" spans="2:5" ht="12.75">
      <c r="B75" s="16" t="s">
        <v>35</v>
      </c>
      <c r="E75" s="16" t="s">
        <v>35</v>
      </c>
    </row>
    <row r="76" ht="12.75">
      <c r="A76" s="24" t="s">
        <v>36</v>
      </c>
    </row>
  </sheetData>
  <sheetProtection/>
  <mergeCells count="12">
    <mergeCell ref="A71:M71"/>
    <mergeCell ref="A31:M31"/>
    <mergeCell ref="A59:M59"/>
    <mergeCell ref="I10:M10"/>
    <mergeCell ref="A8:M8"/>
    <mergeCell ref="F61:I61"/>
    <mergeCell ref="A1:M1"/>
    <mergeCell ref="A4:M4"/>
    <mergeCell ref="A3:M3"/>
    <mergeCell ref="A2:M2"/>
    <mergeCell ref="A5:M5"/>
    <mergeCell ref="A69:M69"/>
  </mergeCells>
  <hyperlinks>
    <hyperlink ref="A4" r:id="rId1" display="www.tiogadowns.com"/>
  </hyperlinks>
  <printOptions horizontalCentered="1"/>
  <pageMargins left="0.25" right="0.25" top="0.75" bottom="0.5" header="0.5" footer="0.5"/>
  <pageSetup fitToHeight="1" fitToWidth="1" horizontalDpi="600" verticalDpi="600" orientation="portrait" scale="74"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selection activeCell="A5" sqref="A5:M5"/>
    </sheetView>
  </sheetViews>
  <sheetFormatPr defaultColWidth="9.140625" defaultRowHeight="12.75"/>
  <cols>
    <col min="1" max="1" width="9.28125" style="3" customWidth="1"/>
    <col min="2" max="2" width="14.140625" style="16" customWidth="1"/>
    <col min="3" max="3" width="11.00390625" style="16" customWidth="1"/>
    <col min="4" max="4" width="13.57421875" style="16" customWidth="1"/>
    <col min="5" max="5" width="11.7109375" style="16" bestFit="1" customWidth="1"/>
    <col min="6" max="6" width="8.140625" style="17" customWidth="1"/>
    <col min="7" max="7" width="9.00390625" style="16" customWidth="1"/>
    <col min="8" max="8" width="1.421875" style="16" customWidth="1"/>
    <col min="9" max="9" width="12.00390625" style="16" customWidth="1"/>
    <col min="10" max="10" width="12.140625" style="16" customWidth="1"/>
    <col min="11" max="12" width="12.8515625" style="16" bestFit="1" customWidth="1"/>
    <col min="13" max="13" width="11.00390625" style="16" customWidth="1"/>
    <col min="14" max="14" width="12.7109375" style="0" customWidth="1"/>
  </cols>
  <sheetData>
    <row r="1" spans="1:13" ht="18">
      <c r="A1" s="60" t="s">
        <v>48</v>
      </c>
      <c r="B1" s="60"/>
      <c r="C1" s="60"/>
      <c r="D1" s="60"/>
      <c r="E1" s="60"/>
      <c r="F1" s="60"/>
      <c r="G1" s="60"/>
      <c r="H1" s="60"/>
      <c r="I1" s="60"/>
      <c r="J1" s="60"/>
      <c r="K1" s="60"/>
      <c r="L1" s="60"/>
      <c r="M1" s="60"/>
    </row>
    <row r="2" spans="1:13" ht="15">
      <c r="A2" s="61" t="s">
        <v>0</v>
      </c>
      <c r="B2" s="61"/>
      <c r="C2" s="61"/>
      <c r="D2" s="61"/>
      <c r="E2" s="61"/>
      <c r="F2" s="61"/>
      <c r="G2" s="61"/>
      <c r="H2" s="61"/>
      <c r="I2" s="61"/>
      <c r="J2" s="61"/>
      <c r="K2" s="61"/>
      <c r="L2" s="61"/>
      <c r="M2" s="61"/>
    </row>
    <row r="3" spans="1:13" s="1" customFormat="1" ht="15">
      <c r="A3" s="61" t="s">
        <v>1</v>
      </c>
      <c r="B3" s="61"/>
      <c r="C3" s="61"/>
      <c r="D3" s="61"/>
      <c r="E3" s="61"/>
      <c r="F3" s="61"/>
      <c r="G3" s="61"/>
      <c r="H3" s="61"/>
      <c r="I3" s="61"/>
      <c r="J3" s="61"/>
      <c r="K3" s="61"/>
      <c r="L3" s="61"/>
      <c r="M3" s="61"/>
    </row>
    <row r="4" spans="1:13" s="1" customFormat="1" ht="14.25" customHeight="1">
      <c r="A4" s="62" t="s">
        <v>2</v>
      </c>
      <c r="B4" s="62"/>
      <c r="C4" s="62"/>
      <c r="D4" s="62"/>
      <c r="E4" s="62"/>
      <c r="F4" s="62"/>
      <c r="G4" s="62"/>
      <c r="H4" s="62"/>
      <c r="I4" s="62"/>
      <c r="J4" s="62"/>
      <c r="K4" s="62"/>
      <c r="L4" s="62"/>
      <c r="M4" s="62"/>
    </row>
    <row r="5" spans="1:13" s="1" customFormat="1" ht="14.25">
      <c r="A5" s="63" t="s">
        <v>3</v>
      </c>
      <c r="B5" s="63"/>
      <c r="C5" s="63"/>
      <c r="D5" s="63"/>
      <c r="E5" s="63"/>
      <c r="F5" s="63"/>
      <c r="G5" s="63"/>
      <c r="H5" s="63"/>
      <c r="I5" s="63"/>
      <c r="J5" s="63"/>
      <c r="K5" s="63"/>
      <c r="L5" s="63"/>
      <c r="M5" s="6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64" t="s">
        <v>60</v>
      </c>
      <c r="B8" s="65"/>
      <c r="C8" s="65"/>
      <c r="D8" s="65"/>
      <c r="E8" s="65"/>
      <c r="F8" s="65"/>
      <c r="G8" s="65"/>
      <c r="H8" s="65"/>
      <c r="I8" s="65"/>
      <c r="J8" s="65"/>
      <c r="K8" s="65"/>
      <c r="L8" s="65"/>
      <c r="M8" s="6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67" t="s">
        <v>4</v>
      </c>
      <c r="J10" s="67"/>
      <c r="K10" s="67"/>
      <c r="L10" s="67"/>
      <c r="M10" s="67"/>
    </row>
    <row r="11" spans="1:13" s="1" customFormat="1" ht="12.75">
      <c r="A11" s="3"/>
      <c r="B11" s="5"/>
      <c r="C11" s="10"/>
      <c r="D11" s="5"/>
      <c r="E11" s="5"/>
      <c r="F11" s="6"/>
      <c r="G11" s="5"/>
      <c r="H11" s="5"/>
      <c r="I11" s="5"/>
      <c r="J11" s="5"/>
      <c r="K11" s="5"/>
      <c r="L11" s="5"/>
      <c r="M11" s="5"/>
    </row>
    <row r="12" spans="1:13" s="12" customFormat="1" ht="12">
      <c r="A12" s="9"/>
      <c r="B12" s="10" t="s">
        <v>5</v>
      </c>
      <c r="C12" s="15" t="s">
        <v>57</v>
      </c>
      <c r="D12" s="10" t="s">
        <v>5</v>
      </c>
      <c r="E12" s="10"/>
      <c r="F12" s="11" t="s">
        <v>6</v>
      </c>
      <c r="G12" s="10" t="s">
        <v>7</v>
      </c>
      <c r="H12" s="10"/>
      <c r="I12" s="10" t="s">
        <v>8</v>
      </c>
      <c r="J12" s="10" t="s">
        <v>72</v>
      </c>
      <c r="K12" s="10" t="s">
        <v>9</v>
      </c>
      <c r="L12" s="10" t="s">
        <v>73</v>
      </c>
      <c r="M12" s="10" t="s">
        <v>42</v>
      </c>
    </row>
    <row r="13" spans="1:13" s="12" customFormat="1" ht="12">
      <c r="A13" s="13" t="s">
        <v>10</v>
      </c>
      <c r="B13" s="8" t="s">
        <v>11</v>
      </c>
      <c r="C13" s="8" t="s">
        <v>18</v>
      </c>
      <c r="D13" s="8" t="s">
        <v>12</v>
      </c>
      <c r="E13" s="8" t="s">
        <v>13</v>
      </c>
      <c r="F13" s="14" t="s">
        <v>14</v>
      </c>
      <c r="G13" s="8" t="s">
        <v>15</v>
      </c>
      <c r="H13" s="15"/>
      <c r="I13" s="8" t="s">
        <v>16</v>
      </c>
      <c r="J13" s="8" t="s">
        <v>17</v>
      </c>
      <c r="K13" s="8" t="s">
        <v>18</v>
      </c>
      <c r="L13" s="8" t="s">
        <v>74</v>
      </c>
      <c r="M13" s="8" t="s">
        <v>43</v>
      </c>
    </row>
    <row r="15" spans="1:13" ht="12.75">
      <c r="A15" s="3">
        <v>40269</v>
      </c>
      <c r="B15" s="16">
        <v>58496750.2</v>
      </c>
      <c r="C15" s="16">
        <f>564209.85-3125</f>
        <v>561084.85</v>
      </c>
      <c r="D15" s="16">
        <f aca="true" t="shared" si="0" ref="D15:D26">B15-C15-E15</f>
        <v>53455921</v>
      </c>
      <c r="E15" s="16">
        <v>4479744.35</v>
      </c>
      <c r="F15" s="17">
        <v>775</v>
      </c>
      <c r="G15" s="16">
        <f>E15/F15/30</f>
        <v>192.677176344086</v>
      </c>
      <c r="I15" s="16">
        <v>1612707.97</v>
      </c>
      <c r="J15" s="16">
        <v>1791897.76</v>
      </c>
      <c r="K15" s="16">
        <v>447974.44</v>
      </c>
      <c r="L15" s="16">
        <v>447974.44</v>
      </c>
      <c r="M15" s="16">
        <v>179189.79</v>
      </c>
    </row>
    <row r="16" spans="1:13" ht="12.75">
      <c r="A16" s="3">
        <v>40299</v>
      </c>
      <c r="B16" s="16">
        <v>60783787.7</v>
      </c>
      <c r="C16" s="16">
        <f>579200.64-57480-33670-35905-38615</f>
        <v>413530.64</v>
      </c>
      <c r="D16" s="16">
        <f t="shared" si="0"/>
        <v>55505887.85</v>
      </c>
      <c r="E16" s="16">
        <v>4864369.21</v>
      </c>
      <c r="F16" s="17">
        <v>775</v>
      </c>
      <c r="G16" s="16">
        <f>E16/F16/31</f>
        <v>202.4711429760666</v>
      </c>
      <c r="I16" s="16">
        <v>1751172.9</v>
      </c>
      <c r="J16" s="16">
        <v>1945747.7</v>
      </c>
      <c r="K16" s="16">
        <v>486436.93</v>
      </c>
      <c r="L16" s="16">
        <v>486436.93</v>
      </c>
      <c r="M16" s="16">
        <v>194574.77</v>
      </c>
    </row>
    <row r="17" spans="1:13" ht="12.75">
      <c r="A17" s="3">
        <v>40330</v>
      </c>
      <c r="B17" s="16">
        <v>55776324.34</v>
      </c>
      <c r="C17" s="16">
        <f>510711.25-39175-55345-2125-42010-33705</f>
        <v>338351.25</v>
      </c>
      <c r="D17" s="16">
        <f t="shared" si="0"/>
        <v>50893414.150000006</v>
      </c>
      <c r="E17" s="16">
        <v>4544558.94</v>
      </c>
      <c r="F17" s="17">
        <v>775.3333333333334</v>
      </c>
      <c r="G17" s="16">
        <f>E17/F17/30</f>
        <v>195.38086586414448</v>
      </c>
      <c r="I17" s="16">
        <v>1636041.24</v>
      </c>
      <c r="J17" s="16">
        <v>1817823.57</v>
      </c>
      <c r="K17" s="16">
        <v>454455.89</v>
      </c>
      <c r="L17" s="16">
        <v>454455.89</v>
      </c>
      <c r="M17" s="16">
        <v>181782.34</v>
      </c>
    </row>
    <row r="18" spans="1:13" ht="12.75">
      <c r="A18" s="3">
        <v>40360</v>
      </c>
      <c r="B18" s="16">
        <v>63665068.84</v>
      </c>
      <c r="C18" s="16">
        <f>609744.37-2200</f>
        <v>607544.37</v>
      </c>
      <c r="D18" s="16">
        <f t="shared" si="0"/>
        <v>58118865.10000001</v>
      </c>
      <c r="E18" s="16">
        <v>4938659.37</v>
      </c>
      <c r="F18" s="17">
        <v>788.0645161290323</v>
      </c>
      <c r="G18" s="16">
        <f>E18/F18/31</f>
        <v>202.15552067130577</v>
      </c>
      <c r="I18" s="16">
        <v>1777917.38</v>
      </c>
      <c r="J18" s="16">
        <v>1975463.74</v>
      </c>
      <c r="K18" s="16">
        <v>493865.94</v>
      </c>
      <c r="L18" s="16">
        <v>493865.94</v>
      </c>
      <c r="M18" s="16">
        <v>197546.38</v>
      </c>
    </row>
    <row r="19" spans="1:13" ht="12.75">
      <c r="A19" s="3">
        <v>40391</v>
      </c>
      <c r="B19" s="16">
        <v>61641243.84</v>
      </c>
      <c r="C19" s="16">
        <f>547341.03-1285</f>
        <v>546056.03</v>
      </c>
      <c r="D19" s="16">
        <f t="shared" si="0"/>
        <v>56321118.940000005</v>
      </c>
      <c r="E19" s="16">
        <v>4774068.87</v>
      </c>
      <c r="F19" s="17">
        <v>790</v>
      </c>
      <c r="G19" s="16">
        <f>E19/F19/31</f>
        <v>194.93952102899144</v>
      </c>
      <c r="I19" s="16">
        <v>1752719.01</v>
      </c>
      <c r="J19" s="16">
        <v>1875573.31</v>
      </c>
      <c r="K19" s="16">
        <v>477406.93</v>
      </c>
      <c r="L19" s="16">
        <v>477406.93</v>
      </c>
      <c r="M19" s="16">
        <v>190962.76</v>
      </c>
    </row>
    <row r="20" spans="1:13" ht="12.75">
      <c r="A20" s="3">
        <v>40422</v>
      </c>
      <c r="B20" s="16">
        <v>57333058.24</v>
      </c>
      <c r="C20" s="16">
        <f>460785.06-1230</f>
        <v>459555.06</v>
      </c>
      <c r="D20" s="16">
        <f t="shared" si="0"/>
        <v>52367488.29</v>
      </c>
      <c r="E20" s="16">
        <v>4506014.89</v>
      </c>
      <c r="F20" s="17">
        <v>790</v>
      </c>
      <c r="G20" s="16">
        <f>E20/F20/30</f>
        <v>190.12721054852318</v>
      </c>
      <c r="I20" s="16">
        <f>1667225.51-108575</f>
        <v>1558650.51</v>
      </c>
      <c r="J20" s="16">
        <f>1757345.81+108575</f>
        <v>1865920.81</v>
      </c>
      <c r="K20" s="16">
        <v>450601.49</v>
      </c>
      <c r="L20" s="16">
        <v>450601.49</v>
      </c>
      <c r="M20" s="16">
        <v>180240.6</v>
      </c>
    </row>
    <row r="21" spans="1:13" ht="12.75">
      <c r="A21" s="3">
        <v>40452</v>
      </c>
      <c r="B21" s="16">
        <v>58350979.31</v>
      </c>
      <c r="C21" s="16">
        <v>505286.73</v>
      </c>
      <c r="D21" s="16">
        <f t="shared" si="0"/>
        <v>53382060.50000001</v>
      </c>
      <c r="E21" s="16">
        <v>4463632.08</v>
      </c>
      <c r="F21" s="17">
        <v>790</v>
      </c>
      <c r="G21" s="16">
        <f>E21/F21/31</f>
        <v>182.26345773785218</v>
      </c>
      <c r="I21" s="16">
        <v>1651543.86</v>
      </c>
      <c r="J21" s="16">
        <v>1740816.54</v>
      </c>
      <c r="K21" s="16">
        <v>446363.2</v>
      </c>
      <c r="L21" s="16">
        <v>446363.2</v>
      </c>
      <c r="M21" s="16">
        <v>178545.28</v>
      </c>
    </row>
    <row r="22" spans="1:13" ht="12.75">
      <c r="A22" s="3">
        <v>40483</v>
      </c>
      <c r="B22" s="16">
        <v>51605422.17</v>
      </c>
      <c r="C22" s="16">
        <f>417855.66-25-4686</f>
        <v>413144.66</v>
      </c>
      <c r="D22" s="16">
        <f t="shared" si="0"/>
        <v>47210020.830000006</v>
      </c>
      <c r="E22" s="16">
        <v>3982256.68</v>
      </c>
      <c r="F22" s="17">
        <v>790</v>
      </c>
      <c r="G22" s="16">
        <f>E22/F22/30</f>
        <v>168.02770801687765</v>
      </c>
      <c r="I22" s="16">
        <v>1473434.97</v>
      </c>
      <c r="J22" s="16">
        <v>1553080.1</v>
      </c>
      <c r="K22" s="16">
        <v>398225.67</v>
      </c>
      <c r="L22" s="16">
        <v>398225.67</v>
      </c>
      <c r="M22" s="16">
        <v>159290.26</v>
      </c>
    </row>
    <row r="23" spans="1:13" ht="12.75">
      <c r="A23" s="3">
        <v>40513</v>
      </c>
      <c r="B23" s="16">
        <v>51290031.51</v>
      </c>
      <c r="C23" s="16">
        <f>415082.6-5</f>
        <v>415077.6</v>
      </c>
      <c r="D23" s="16">
        <f t="shared" si="0"/>
        <v>47045357.47</v>
      </c>
      <c r="E23" s="16">
        <v>3829596.44</v>
      </c>
      <c r="F23" s="17">
        <v>790</v>
      </c>
      <c r="G23" s="16">
        <f>E23/F23/31</f>
        <v>156.37388485095957</v>
      </c>
      <c r="I23" s="16">
        <v>1416950.68</v>
      </c>
      <c r="J23" s="16">
        <v>1493542.6</v>
      </c>
      <c r="K23" s="16">
        <v>382959.65</v>
      </c>
      <c r="L23" s="16">
        <v>382959.65</v>
      </c>
      <c r="M23" s="16">
        <v>153183.86</v>
      </c>
    </row>
    <row r="24" spans="1:13" ht="12.75">
      <c r="A24" s="3">
        <v>40544</v>
      </c>
      <c r="B24" s="16">
        <v>53170466.11</v>
      </c>
      <c r="C24" s="16">
        <v>352698.46</v>
      </c>
      <c r="D24" s="16">
        <f t="shared" si="0"/>
        <v>48719043.12</v>
      </c>
      <c r="E24" s="16">
        <v>4098724.53</v>
      </c>
      <c r="F24" s="17">
        <v>790</v>
      </c>
      <c r="G24" s="16">
        <f>E24/F24/31</f>
        <v>167.36319028174765</v>
      </c>
      <c r="I24" s="16">
        <v>1516528.08</v>
      </c>
      <c r="J24" s="16">
        <v>1598502.58</v>
      </c>
      <c r="K24" s="16">
        <v>409872.49</v>
      </c>
      <c r="L24" s="16">
        <v>409872.49</v>
      </c>
      <c r="M24" s="16">
        <v>163948.96</v>
      </c>
    </row>
    <row r="25" spans="1:13" ht="12.75">
      <c r="A25" s="3">
        <v>40575</v>
      </c>
      <c r="B25" s="16">
        <v>54026700.71</v>
      </c>
      <c r="C25" s="16">
        <v>342625.98</v>
      </c>
      <c r="D25" s="16">
        <f t="shared" si="0"/>
        <v>49406516.43000001</v>
      </c>
      <c r="E25" s="16">
        <v>4277558.3</v>
      </c>
      <c r="F25" s="17">
        <v>797.0714285714286</v>
      </c>
      <c r="G25" s="16">
        <f>E25/F25/28</f>
        <v>191.66405143830093</v>
      </c>
      <c r="I25" s="16">
        <v>1582696.57</v>
      </c>
      <c r="J25" s="16">
        <v>1668247.76</v>
      </c>
      <c r="K25" s="16">
        <v>427755.85</v>
      </c>
      <c r="L25" s="16">
        <v>427755.85</v>
      </c>
      <c r="M25" s="16">
        <v>171102.34</v>
      </c>
    </row>
    <row r="26" spans="1:13" ht="12.75">
      <c r="A26" s="3">
        <v>40603</v>
      </c>
      <c r="B26" s="16">
        <v>62481419.09</v>
      </c>
      <c r="C26" s="16">
        <v>411594.8</v>
      </c>
      <c r="D26" s="16">
        <f t="shared" si="0"/>
        <v>57158605.980000004</v>
      </c>
      <c r="E26" s="16">
        <v>4911218.31</v>
      </c>
      <c r="F26" s="17">
        <v>808</v>
      </c>
      <c r="G26" s="16">
        <f>E26/F26/31</f>
        <v>196.07227363462152</v>
      </c>
      <c r="I26" s="16">
        <v>2220894.96</v>
      </c>
      <c r="J26" s="16">
        <v>1511630.92</v>
      </c>
      <c r="K26" s="16">
        <v>491121.84</v>
      </c>
      <c r="L26" s="16">
        <v>491121.84</v>
      </c>
      <c r="M26" s="16">
        <v>196448.73</v>
      </c>
    </row>
    <row r="27" spans="1:13" ht="13.5" thickBot="1">
      <c r="A27" s="3" t="s">
        <v>19</v>
      </c>
      <c r="B27" s="18">
        <f>SUM(B15:B26)</f>
        <v>688621252.0600001</v>
      </c>
      <c r="C27" s="18">
        <f>SUM(C15:C26)</f>
        <v>5366550.429999999</v>
      </c>
      <c r="D27" s="18">
        <f>SUM(D15:D26)</f>
        <v>629584299.6600001</v>
      </c>
      <c r="E27" s="18">
        <f>SUM(E15:E26)</f>
        <v>53670401.97</v>
      </c>
      <c r="I27" s="18">
        <f>SUM(I15:I26)</f>
        <v>19951258.13</v>
      </c>
      <c r="J27" s="18">
        <f>SUM(J15:J26)</f>
        <v>20838247.39</v>
      </c>
      <c r="K27" s="18">
        <f>SUM(K15:K26)</f>
        <v>5367040.319999999</v>
      </c>
      <c r="L27" s="18">
        <f>SUM(L15:L26)</f>
        <v>5367040.319999999</v>
      </c>
      <c r="M27" s="18">
        <f>SUM(M15:M26)</f>
        <v>2146816.0700000003</v>
      </c>
    </row>
    <row r="28" spans="2:13" ht="10.5" customHeight="1" thickTop="1">
      <c r="B28" s="19"/>
      <c r="C28" s="19"/>
      <c r="D28" s="19"/>
      <c r="E28" s="19"/>
      <c r="I28" s="19"/>
      <c r="J28" s="19"/>
      <c r="K28" s="19"/>
      <c r="L28" s="19"/>
      <c r="M28" s="19"/>
    </row>
    <row r="29" spans="1:13" s="22" customFormat="1" ht="12.75">
      <c r="A29" s="20"/>
      <c r="B29" s="21"/>
      <c r="C29" s="21">
        <f>C27/B27</f>
        <v>0.007793181540572621</v>
      </c>
      <c r="D29" s="21">
        <f>D27/B27</f>
        <v>0.9142678907695749</v>
      </c>
      <c r="E29" s="21">
        <f>E27/B27</f>
        <v>0.07793892768985244</v>
      </c>
      <c r="I29" s="21">
        <f>I27/$E$27</f>
        <v>0.37173670026082717</v>
      </c>
      <c r="J29" s="21">
        <f>J27/$E$27</f>
        <v>0.38826330016398797</v>
      </c>
      <c r="K29" s="21">
        <f>K27/$E$27</f>
        <v>0.10000000229176595</v>
      </c>
      <c r="L29" s="21">
        <f>L27/$E$27</f>
        <v>0.10000000229176595</v>
      </c>
      <c r="M29" s="21">
        <f>M27/$E$27</f>
        <v>0.03999999983603626</v>
      </c>
    </row>
    <row r="31" spans="1:13" s="23" customFormat="1" ht="12.75">
      <c r="A31" s="64" t="s">
        <v>20</v>
      </c>
      <c r="B31" s="65"/>
      <c r="C31" s="65"/>
      <c r="D31" s="65"/>
      <c r="E31" s="65"/>
      <c r="F31" s="65"/>
      <c r="G31" s="65"/>
      <c r="H31" s="65"/>
      <c r="I31" s="65"/>
      <c r="J31" s="65"/>
      <c r="K31" s="65"/>
      <c r="L31" s="65"/>
      <c r="M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87</v>
      </c>
      <c r="B36" s="26"/>
      <c r="C36" s="26" t="s">
        <v>51</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22</v>
      </c>
      <c r="B38" s="42"/>
      <c r="C38" s="43" t="s">
        <v>23</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24</v>
      </c>
      <c r="B40" s="42"/>
      <c r="C40" s="42" t="s">
        <v>52</v>
      </c>
      <c r="D40" s="46"/>
      <c r="E40" s="47"/>
      <c r="F40" s="42"/>
      <c r="G40" s="42"/>
      <c r="H40" s="42"/>
      <c r="I40" s="42"/>
      <c r="J40" s="42"/>
      <c r="K40" s="42"/>
      <c r="L40" s="42"/>
    </row>
    <row r="41" spans="1:12" s="45" customFormat="1" ht="12.75">
      <c r="A41" s="41"/>
      <c r="B41" s="42"/>
      <c r="C41" s="42" t="s">
        <v>53</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27</v>
      </c>
      <c r="B43" s="42"/>
      <c r="C43" s="42" t="s">
        <v>28</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65</v>
      </c>
      <c r="B45" s="42"/>
      <c r="C45" s="42" t="s">
        <v>68</v>
      </c>
      <c r="D45" s="46"/>
      <c r="E45" s="47"/>
      <c r="F45" s="42"/>
      <c r="G45" s="42"/>
      <c r="H45" s="42"/>
      <c r="I45" s="42"/>
      <c r="J45" s="42"/>
      <c r="K45" s="42"/>
      <c r="L45" s="42"/>
    </row>
    <row r="46" spans="1:12" s="45" customFormat="1" ht="12.75">
      <c r="A46" s="41"/>
      <c r="B46" s="42"/>
      <c r="C46" s="42" t="s">
        <v>75</v>
      </c>
      <c r="D46" s="46"/>
      <c r="E46" s="47"/>
      <c r="F46" s="42"/>
      <c r="G46" s="42"/>
      <c r="H46" s="42"/>
      <c r="I46" s="42"/>
      <c r="J46" s="42"/>
      <c r="K46" s="42"/>
      <c r="L46" s="42"/>
    </row>
    <row r="47" spans="1:12" s="45" customFormat="1" ht="12.75">
      <c r="A47" s="41"/>
      <c r="B47" s="42"/>
      <c r="C47" s="42" t="s">
        <v>76</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29</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69</v>
      </c>
      <c r="B52" s="42"/>
      <c r="C52" s="42" t="s">
        <v>70</v>
      </c>
      <c r="D52" s="46"/>
      <c r="E52" s="47"/>
      <c r="F52" s="42"/>
      <c r="G52" s="42"/>
      <c r="H52" s="42"/>
      <c r="I52" s="42"/>
      <c r="J52" s="42"/>
      <c r="K52" s="42"/>
      <c r="L52" s="42"/>
    </row>
    <row r="53" spans="1:12" s="45" customFormat="1" ht="12.75">
      <c r="A53" s="48"/>
      <c r="B53" s="42"/>
      <c r="C53" s="42" t="s">
        <v>71</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44</v>
      </c>
      <c r="B55" s="42"/>
      <c r="C55" s="42" t="s">
        <v>54</v>
      </c>
      <c r="D55" s="46"/>
      <c r="E55" s="47"/>
      <c r="F55" s="42"/>
      <c r="G55" s="42"/>
      <c r="H55" s="42"/>
      <c r="I55" s="42"/>
      <c r="J55" s="42"/>
      <c r="K55" s="42"/>
      <c r="L55" s="46"/>
    </row>
    <row r="56" spans="1:12" s="45" customFormat="1" ht="12.75">
      <c r="A56" s="48"/>
      <c r="B56" s="42"/>
      <c r="C56" s="42" t="s">
        <v>55</v>
      </c>
      <c r="D56" s="46"/>
      <c r="E56" s="47"/>
      <c r="F56" s="42"/>
      <c r="G56" s="42"/>
      <c r="H56" s="42"/>
      <c r="I56" s="42"/>
      <c r="J56" s="42"/>
      <c r="K56" s="42"/>
      <c r="L56" s="46"/>
    </row>
    <row r="57" spans="1:12" s="45" customFormat="1" ht="12.75">
      <c r="A57" s="48"/>
      <c r="B57" s="42"/>
      <c r="C57" s="42" t="s">
        <v>56</v>
      </c>
      <c r="D57" s="46"/>
      <c r="E57" s="47"/>
      <c r="F57" s="42"/>
      <c r="G57" s="42"/>
      <c r="H57" s="42"/>
      <c r="I57" s="42"/>
      <c r="J57" s="42"/>
      <c r="K57" s="42"/>
      <c r="L57" s="46"/>
    </row>
    <row r="58" spans="1:13" ht="12.75">
      <c r="A58" s="29"/>
      <c r="B58" s="30"/>
      <c r="C58" s="30"/>
      <c r="D58" s="26"/>
      <c r="E58" s="30"/>
      <c r="F58" s="31"/>
      <c r="G58" s="30"/>
      <c r="H58" s="30"/>
      <c r="I58" s="30"/>
      <c r="J58" s="30"/>
      <c r="K58" s="30"/>
      <c r="L58" s="30"/>
      <c r="M58" s="30"/>
    </row>
    <row r="59" spans="1:13" s="23" customFormat="1" ht="12.75">
      <c r="A59" s="64" t="s">
        <v>30</v>
      </c>
      <c r="B59" s="65"/>
      <c r="C59" s="65"/>
      <c r="D59" s="65"/>
      <c r="E59" s="65"/>
      <c r="F59" s="65"/>
      <c r="G59" s="65"/>
      <c r="H59" s="65"/>
      <c r="I59" s="65"/>
      <c r="J59" s="65"/>
      <c r="K59" s="65"/>
      <c r="L59" s="65"/>
      <c r="M59" s="66"/>
    </row>
    <row r="60" ht="12.75">
      <c r="A60" s="24"/>
    </row>
    <row r="61" spans="1:13" ht="13.5">
      <c r="A61" s="32"/>
      <c r="G61" s="10" t="s">
        <v>8</v>
      </c>
      <c r="H61" s="33"/>
      <c r="I61" s="10" t="s">
        <v>72</v>
      </c>
      <c r="J61" s="10" t="s">
        <v>9</v>
      </c>
      <c r="K61" s="53" t="s">
        <v>73</v>
      </c>
      <c r="L61" s="10" t="s">
        <v>42</v>
      </c>
      <c r="M61" s="34"/>
    </row>
    <row r="62" spans="1:13" ht="12.75">
      <c r="A62" s="35"/>
      <c r="G62" s="8" t="s">
        <v>16</v>
      </c>
      <c r="H62" s="36"/>
      <c r="I62" s="8" t="s">
        <v>17</v>
      </c>
      <c r="J62" s="8" t="s">
        <v>18</v>
      </c>
      <c r="K62" s="54" t="s">
        <v>74</v>
      </c>
      <c r="L62" s="8" t="s">
        <v>43</v>
      </c>
      <c r="M62" s="34"/>
    </row>
    <row r="63" spans="2:13" ht="12.75">
      <c r="B63" s="37" t="s">
        <v>31</v>
      </c>
      <c r="C63" s="37"/>
      <c r="D63" s="37"/>
      <c r="E63" s="26"/>
      <c r="F63" s="27"/>
      <c r="G63" s="38">
        <v>0.37</v>
      </c>
      <c r="H63" s="26"/>
      <c r="I63" s="38">
        <v>0.39</v>
      </c>
      <c r="J63" s="38">
        <v>0.1</v>
      </c>
      <c r="K63" s="38">
        <v>0.1</v>
      </c>
      <c r="L63" s="38">
        <v>0.04</v>
      </c>
      <c r="M63" s="39"/>
    </row>
    <row r="64" spans="2:13" ht="12.75">
      <c r="B64" s="37" t="s">
        <v>46</v>
      </c>
      <c r="C64" s="37"/>
      <c r="D64" s="37"/>
      <c r="E64" s="26"/>
      <c r="F64" s="27"/>
      <c r="G64" s="38">
        <v>0.48</v>
      </c>
      <c r="H64" s="26"/>
      <c r="I64" s="38">
        <v>0.28</v>
      </c>
      <c r="J64" s="38">
        <v>0.1</v>
      </c>
      <c r="K64" s="38">
        <v>0.1</v>
      </c>
      <c r="L64" s="38">
        <v>0.04</v>
      </c>
      <c r="M64" s="39"/>
    </row>
    <row r="65" spans="2:13" ht="12.75">
      <c r="B65" s="37" t="s">
        <v>47</v>
      </c>
      <c r="C65" s="37"/>
      <c r="D65" s="37"/>
      <c r="E65" s="26"/>
      <c r="F65" s="27"/>
      <c r="G65" s="38">
        <v>0.52</v>
      </c>
      <c r="H65" s="26"/>
      <c r="I65" s="38">
        <v>0.28</v>
      </c>
      <c r="J65" s="38">
        <v>0.1</v>
      </c>
      <c r="K65" s="38">
        <v>0.1</v>
      </c>
      <c r="L65" s="38">
        <v>0</v>
      </c>
      <c r="M65" s="39"/>
    </row>
    <row r="66" spans="2:13" ht="12.75">
      <c r="B66" s="37" t="s">
        <v>33</v>
      </c>
      <c r="C66" s="37"/>
      <c r="D66" s="37"/>
      <c r="E66" s="26"/>
      <c r="F66" s="27"/>
      <c r="G66" s="38">
        <v>0.54</v>
      </c>
      <c r="H66" s="26"/>
      <c r="I66" s="38">
        <v>0.28</v>
      </c>
      <c r="J66" s="38">
        <v>0.08</v>
      </c>
      <c r="K66" s="38">
        <v>0.1</v>
      </c>
      <c r="L66" s="38">
        <v>0</v>
      </c>
      <c r="M66" s="39"/>
    </row>
    <row r="67" spans="2:13" ht="12.75">
      <c r="B67" s="37" t="s">
        <v>34</v>
      </c>
      <c r="C67" s="37"/>
      <c r="D67" s="37"/>
      <c r="E67" s="26"/>
      <c r="F67" s="27"/>
      <c r="G67" s="38">
        <v>0.57</v>
      </c>
      <c r="H67" s="26"/>
      <c r="I67" s="38">
        <v>0.25</v>
      </c>
      <c r="J67" s="38">
        <v>0.08</v>
      </c>
      <c r="K67" s="38">
        <v>0.1</v>
      </c>
      <c r="L67" s="38">
        <v>0</v>
      </c>
      <c r="M67" s="39"/>
    </row>
    <row r="68" spans="2:13" ht="12.75">
      <c r="B68" s="37"/>
      <c r="C68" s="37"/>
      <c r="D68" s="37"/>
      <c r="E68" s="26"/>
      <c r="F68" s="27"/>
      <c r="G68" s="38"/>
      <c r="H68" s="26"/>
      <c r="I68" s="38"/>
      <c r="J68" s="38"/>
      <c r="K68" s="38"/>
      <c r="L68" s="38"/>
      <c r="M68" s="39"/>
    </row>
    <row r="69" spans="1:12" s="23" customFormat="1" ht="12.75">
      <c r="A69" s="52" t="s">
        <v>62</v>
      </c>
      <c r="B69" s="37"/>
      <c r="C69" s="37"/>
      <c r="D69" s="26"/>
      <c r="E69" s="27"/>
      <c r="F69" s="38"/>
      <c r="G69" s="26"/>
      <c r="H69" s="38"/>
      <c r="I69" s="38"/>
      <c r="J69" s="38"/>
      <c r="K69" s="38"/>
      <c r="L69" s="39"/>
    </row>
    <row r="70" spans="1:12" s="23" customFormat="1" ht="12.75">
      <c r="A70" s="52" t="s">
        <v>63</v>
      </c>
      <c r="B70" s="37"/>
      <c r="C70" s="37"/>
      <c r="D70" s="26"/>
      <c r="E70" s="27"/>
      <c r="F70" s="38"/>
      <c r="G70" s="26"/>
      <c r="H70" s="38"/>
      <c r="I70" s="38"/>
      <c r="J70" s="38"/>
      <c r="K70" s="38"/>
      <c r="L70" s="39"/>
    </row>
    <row r="71" ht="12.75">
      <c r="A71" s="24"/>
    </row>
    <row r="72" spans="1:13" s="23" customFormat="1" ht="12.75">
      <c r="A72" s="68" t="s">
        <v>37</v>
      </c>
      <c r="B72" s="69"/>
      <c r="C72" s="69"/>
      <c r="D72" s="69"/>
      <c r="E72" s="69"/>
      <c r="F72" s="69"/>
      <c r="G72" s="69"/>
      <c r="H72" s="69"/>
      <c r="I72" s="69"/>
      <c r="J72" s="69"/>
      <c r="K72" s="69"/>
      <c r="L72" s="69"/>
      <c r="M72" s="70"/>
    </row>
    <row r="73" spans="1:6" ht="12.75">
      <c r="A73" s="24"/>
      <c r="E73"/>
      <c r="F73" s="16"/>
    </row>
    <row r="74" spans="1:13" ht="51.75" customHeight="1">
      <c r="A74" s="72" t="s">
        <v>61</v>
      </c>
      <c r="B74" s="72"/>
      <c r="C74" s="72"/>
      <c r="D74" s="72"/>
      <c r="E74" s="72"/>
      <c r="F74" s="72"/>
      <c r="G74" s="72"/>
      <c r="H74" s="72"/>
      <c r="I74" s="72"/>
      <c r="J74" s="72"/>
      <c r="K74" s="72"/>
      <c r="L74" s="72"/>
      <c r="M74" s="72"/>
    </row>
    <row r="75" spans="1:6" ht="12.75">
      <c r="A75" s="16"/>
      <c r="E75"/>
      <c r="F75" s="16"/>
    </row>
    <row r="76" spans="2:5" ht="12.75">
      <c r="B76" s="24" t="s">
        <v>38</v>
      </c>
      <c r="C76" s="24"/>
      <c r="D76" s="24"/>
      <c r="E76" s="16">
        <f>114890*0.9</f>
        <v>103401</v>
      </c>
    </row>
    <row r="77" spans="2:5" ht="12.75">
      <c r="B77" s="24" t="s">
        <v>39</v>
      </c>
      <c r="C77" s="24"/>
      <c r="D77" s="24"/>
      <c r="E77" s="16">
        <f>203577*0.9</f>
        <v>183219.30000000002</v>
      </c>
    </row>
    <row r="78" spans="2:5" ht="12.75">
      <c r="B78" s="16" t="s">
        <v>35</v>
      </c>
      <c r="E78" s="16" t="s">
        <v>35</v>
      </c>
    </row>
    <row r="79" ht="12.75">
      <c r="E79" s="16" t="s">
        <v>35</v>
      </c>
    </row>
    <row r="80" ht="12.75">
      <c r="A80" s="24" t="s">
        <v>36</v>
      </c>
    </row>
  </sheetData>
  <sheetProtection/>
  <mergeCells count="11">
    <mergeCell ref="A74:M74"/>
    <mergeCell ref="A31:M31"/>
    <mergeCell ref="A59:M59"/>
    <mergeCell ref="I10:M10"/>
    <mergeCell ref="A8:M8"/>
    <mergeCell ref="A1:M1"/>
    <mergeCell ref="A4:M4"/>
    <mergeCell ref="A3:M3"/>
    <mergeCell ref="A2:M2"/>
    <mergeCell ref="A5:M5"/>
    <mergeCell ref="A72:M72"/>
  </mergeCells>
  <hyperlinks>
    <hyperlink ref="A4" r:id="rId1" display="www.tiogadowns.com"/>
  </hyperlinks>
  <printOptions horizontalCentered="1"/>
  <pageMargins left="0.25" right="0.25" top="0.75" bottom="0.5" header="0.5" footer="0.5"/>
  <pageSetup fitToHeight="1" fitToWidth="1" horizontalDpi="600" verticalDpi="600" orientation="portrait" scale="71"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C7" sqref="C7"/>
    </sheetView>
  </sheetViews>
  <sheetFormatPr defaultColWidth="9.140625" defaultRowHeight="12.75"/>
  <cols>
    <col min="1" max="1" width="9.28125" style="3" customWidth="1"/>
    <col min="2" max="2" width="14.140625" style="16" customWidth="1"/>
    <col min="3" max="3" width="11.00390625" style="16" customWidth="1"/>
    <col min="4" max="4" width="13.57421875" style="16" customWidth="1"/>
    <col min="5" max="5" width="11.7109375" style="16" bestFit="1" customWidth="1"/>
    <col min="6" max="6" width="8.140625" style="17" customWidth="1"/>
    <col min="7" max="7" width="9.00390625" style="16" customWidth="1"/>
    <col min="8" max="8" width="1.421875" style="16" customWidth="1"/>
    <col min="9" max="9" width="12.00390625" style="16" customWidth="1"/>
    <col min="10" max="10" width="12.140625" style="16" customWidth="1"/>
    <col min="11" max="12" width="12.8515625" style="16" bestFit="1" customWidth="1"/>
    <col min="13" max="13" width="11.00390625" style="16" customWidth="1"/>
    <col min="14" max="14" width="12.7109375" style="0" customWidth="1"/>
  </cols>
  <sheetData>
    <row r="1" spans="1:13" ht="18">
      <c r="A1" s="60" t="s">
        <v>48</v>
      </c>
      <c r="B1" s="60"/>
      <c r="C1" s="60"/>
      <c r="D1" s="60"/>
      <c r="E1" s="60"/>
      <c r="F1" s="60"/>
      <c r="G1" s="60"/>
      <c r="H1" s="60"/>
      <c r="I1" s="60"/>
      <c r="J1" s="60"/>
      <c r="K1" s="60"/>
      <c r="L1" s="60"/>
      <c r="M1" s="60"/>
    </row>
    <row r="2" spans="1:13" ht="15">
      <c r="A2" s="61" t="s">
        <v>0</v>
      </c>
      <c r="B2" s="61"/>
      <c r="C2" s="61"/>
      <c r="D2" s="61"/>
      <c r="E2" s="61"/>
      <c r="F2" s="61"/>
      <c r="G2" s="61"/>
      <c r="H2" s="61"/>
      <c r="I2" s="61"/>
      <c r="J2" s="61"/>
      <c r="K2" s="61"/>
      <c r="L2" s="61"/>
      <c r="M2" s="61"/>
    </row>
    <row r="3" spans="1:13" s="1" customFormat="1" ht="15">
      <c r="A3" s="61" t="s">
        <v>1</v>
      </c>
      <c r="B3" s="61"/>
      <c r="C3" s="61"/>
      <c r="D3" s="61"/>
      <c r="E3" s="61"/>
      <c r="F3" s="61"/>
      <c r="G3" s="61"/>
      <c r="H3" s="61"/>
      <c r="I3" s="61"/>
      <c r="J3" s="61"/>
      <c r="K3" s="61"/>
      <c r="L3" s="61"/>
      <c r="M3" s="61"/>
    </row>
    <row r="4" spans="1:13" s="1" customFormat="1" ht="14.25" customHeight="1">
      <c r="A4" s="62" t="s">
        <v>2</v>
      </c>
      <c r="B4" s="62"/>
      <c r="C4" s="62"/>
      <c r="D4" s="62"/>
      <c r="E4" s="62"/>
      <c r="F4" s="62"/>
      <c r="G4" s="62"/>
      <c r="H4" s="62"/>
      <c r="I4" s="62"/>
      <c r="J4" s="62"/>
      <c r="K4" s="62"/>
      <c r="L4" s="62"/>
      <c r="M4" s="62"/>
    </row>
    <row r="5" spans="1:13" s="1" customFormat="1" ht="14.25">
      <c r="A5" s="63" t="s">
        <v>3</v>
      </c>
      <c r="B5" s="63"/>
      <c r="C5" s="63"/>
      <c r="D5" s="63"/>
      <c r="E5" s="63"/>
      <c r="F5" s="63"/>
      <c r="G5" s="63"/>
      <c r="H5" s="63"/>
      <c r="I5" s="63"/>
      <c r="J5" s="63"/>
      <c r="K5" s="63"/>
      <c r="L5" s="63"/>
      <c r="M5" s="6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64" t="s">
        <v>49</v>
      </c>
      <c r="B8" s="65"/>
      <c r="C8" s="65"/>
      <c r="D8" s="65"/>
      <c r="E8" s="65"/>
      <c r="F8" s="65"/>
      <c r="G8" s="65"/>
      <c r="H8" s="65"/>
      <c r="I8" s="65"/>
      <c r="J8" s="65"/>
      <c r="K8" s="65"/>
      <c r="L8" s="65"/>
      <c r="M8" s="6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67" t="s">
        <v>4</v>
      </c>
      <c r="J10" s="67"/>
      <c r="K10" s="67"/>
      <c r="L10" s="67"/>
      <c r="M10" s="67"/>
    </row>
    <row r="11" spans="1:13" s="1" customFormat="1" ht="12.75">
      <c r="A11" s="3"/>
      <c r="B11" s="5"/>
      <c r="C11" s="10"/>
      <c r="D11" s="5"/>
      <c r="E11" s="5"/>
      <c r="F11" s="6"/>
      <c r="G11" s="5"/>
      <c r="H11" s="5"/>
      <c r="I11" s="5"/>
      <c r="J11" s="5"/>
      <c r="K11" s="5"/>
      <c r="L11" s="5"/>
      <c r="M11" s="5"/>
    </row>
    <row r="12" spans="1:13" s="12" customFormat="1" ht="12">
      <c r="A12" s="9"/>
      <c r="B12" s="10" t="s">
        <v>5</v>
      </c>
      <c r="C12" s="15" t="s">
        <v>57</v>
      </c>
      <c r="D12" s="10" t="s">
        <v>5</v>
      </c>
      <c r="E12" s="10"/>
      <c r="F12" s="11" t="s">
        <v>6</v>
      </c>
      <c r="G12" s="10" t="s">
        <v>7</v>
      </c>
      <c r="H12" s="10"/>
      <c r="I12" s="10" t="s">
        <v>8</v>
      </c>
      <c r="J12" s="10" t="s">
        <v>72</v>
      </c>
      <c r="K12" s="10" t="s">
        <v>9</v>
      </c>
      <c r="L12" s="10" t="s">
        <v>73</v>
      </c>
      <c r="M12" s="10" t="s">
        <v>42</v>
      </c>
    </row>
    <row r="13" spans="1:13" s="12" customFormat="1" ht="12">
      <c r="A13" s="13" t="s">
        <v>10</v>
      </c>
      <c r="B13" s="8" t="s">
        <v>11</v>
      </c>
      <c r="C13" s="8" t="s">
        <v>18</v>
      </c>
      <c r="D13" s="8" t="s">
        <v>12</v>
      </c>
      <c r="E13" s="8" t="s">
        <v>13</v>
      </c>
      <c r="F13" s="14" t="s">
        <v>14</v>
      </c>
      <c r="G13" s="8" t="s">
        <v>15</v>
      </c>
      <c r="H13" s="15"/>
      <c r="I13" s="8" t="s">
        <v>16</v>
      </c>
      <c r="J13" s="8" t="s">
        <v>17</v>
      </c>
      <c r="K13" s="8" t="s">
        <v>18</v>
      </c>
      <c r="L13" s="8" t="s">
        <v>74</v>
      </c>
      <c r="M13" s="8" t="s">
        <v>43</v>
      </c>
    </row>
    <row r="15" spans="1:13" ht="12.75">
      <c r="A15" s="3">
        <v>39904</v>
      </c>
      <c r="B15" s="16">
        <v>47703355.04</v>
      </c>
      <c r="C15" s="16">
        <v>0</v>
      </c>
      <c r="D15" s="16">
        <f aca="true" t="shared" si="0" ref="D15:D26">B15-C15-E15</f>
        <v>43719131.71</v>
      </c>
      <c r="E15" s="16">
        <v>3984223.33</v>
      </c>
      <c r="F15" s="17">
        <v>766</v>
      </c>
      <c r="G15" s="16">
        <f>E15/F15/30</f>
        <v>173.37786466492602</v>
      </c>
      <c r="I15" s="16">
        <v>1434320.45</v>
      </c>
      <c r="J15" s="16">
        <v>1593689.33</v>
      </c>
      <c r="K15" s="16">
        <v>398422.33</v>
      </c>
      <c r="L15" s="16">
        <v>398422.33</v>
      </c>
      <c r="M15" s="16">
        <v>159368.92</v>
      </c>
    </row>
    <row r="16" spans="1:13" ht="12.75">
      <c r="A16" s="3">
        <v>39934</v>
      </c>
      <c r="B16" s="16">
        <v>53336303.04</v>
      </c>
      <c r="C16" s="16">
        <v>0</v>
      </c>
      <c r="D16" s="16">
        <f t="shared" si="0"/>
        <v>48721380.69</v>
      </c>
      <c r="E16" s="16">
        <v>4614922.35</v>
      </c>
      <c r="F16" s="17">
        <v>766</v>
      </c>
      <c r="G16" s="16">
        <f>E16/F16/31</f>
        <v>194.34525183188745</v>
      </c>
      <c r="I16" s="16">
        <v>1661372.1</v>
      </c>
      <c r="J16" s="16">
        <v>1845968.94</v>
      </c>
      <c r="K16" s="16">
        <v>461492.26</v>
      </c>
      <c r="L16" s="16">
        <v>461492.26</v>
      </c>
      <c r="M16" s="16">
        <v>184596.87</v>
      </c>
    </row>
    <row r="17" spans="1:13" ht="12.75">
      <c r="A17" s="3">
        <v>39965</v>
      </c>
      <c r="B17" s="16">
        <v>49316292.5</v>
      </c>
      <c r="C17" s="16">
        <v>0</v>
      </c>
      <c r="D17" s="16">
        <f t="shared" si="0"/>
        <v>45121016.3</v>
      </c>
      <c r="E17" s="16">
        <v>4195276.2</v>
      </c>
      <c r="F17" s="17">
        <v>766.3</v>
      </c>
      <c r="G17" s="16">
        <f>E17/F17/30</f>
        <v>182.49059115229025</v>
      </c>
      <c r="I17" s="16">
        <v>1510299.45</v>
      </c>
      <c r="J17" s="16">
        <v>1678110.48</v>
      </c>
      <c r="K17" s="16">
        <v>419527.64</v>
      </c>
      <c r="L17" s="16">
        <v>419527.64</v>
      </c>
      <c r="M17" s="16">
        <v>167811.06</v>
      </c>
    </row>
    <row r="18" spans="1:13" ht="12.75">
      <c r="A18" s="3">
        <v>39995</v>
      </c>
      <c r="B18" s="16">
        <v>53666773.67</v>
      </c>
      <c r="C18" s="16">
        <v>0</v>
      </c>
      <c r="D18" s="16">
        <f t="shared" si="0"/>
        <v>48942930.69</v>
      </c>
      <c r="E18" s="16">
        <v>4723842.98</v>
      </c>
      <c r="F18" s="17">
        <v>775</v>
      </c>
      <c r="G18" s="16">
        <f>E18/F18/31</f>
        <v>196.62197627471386</v>
      </c>
      <c r="I18" s="16">
        <v>1700583.52</v>
      </c>
      <c r="J18" s="16">
        <v>1889537.19</v>
      </c>
      <c r="K18" s="16">
        <v>472384.33</v>
      </c>
      <c r="L18" s="16">
        <v>472384.33</v>
      </c>
      <c r="M18" s="16">
        <v>188953.7</v>
      </c>
    </row>
    <row r="19" spans="1:13" ht="12.75">
      <c r="A19" s="3">
        <v>40026</v>
      </c>
      <c r="B19" s="16">
        <v>50646264.89</v>
      </c>
      <c r="C19" s="16">
        <v>12616.93</v>
      </c>
      <c r="D19" s="16">
        <f t="shared" si="0"/>
        <v>46143691.28</v>
      </c>
      <c r="E19" s="16">
        <v>4489956.68</v>
      </c>
      <c r="F19" s="17">
        <v>775</v>
      </c>
      <c r="G19" s="16">
        <f>E19/F19/31</f>
        <v>186.88685452653485</v>
      </c>
      <c r="I19" s="16">
        <v>1616384.45</v>
      </c>
      <c r="J19" s="16">
        <v>1795982.68</v>
      </c>
      <c r="K19" s="16">
        <v>448995.69</v>
      </c>
      <c r="L19" s="16">
        <v>448995.69</v>
      </c>
      <c r="M19" s="16">
        <v>179598.28</v>
      </c>
    </row>
    <row r="20" spans="1:13" ht="12.75">
      <c r="A20" s="3">
        <v>40057</v>
      </c>
      <c r="B20" s="16">
        <v>51258290.97</v>
      </c>
      <c r="C20" s="16">
        <v>308182.71</v>
      </c>
      <c r="D20" s="16">
        <f t="shared" si="0"/>
        <v>46826788.25</v>
      </c>
      <c r="E20" s="16">
        <v>4123320.01</v>
      </c>
      <c r="F20" s="17">
        <v>775</v>
      </c>
      <c r="G20" s="16">
        <f>E20/F20/30</f>
        <v>177.34709720430106</v>
      </c>
      <c r="I20" s="16">
        <v>1484395.26</v>
      </c>
      <c r="J20" s="16">
        <v>1649328.02</v>
      </c>
      <c r="K20" s="16">
        <v>412332.01</v>
      </c>
      <c r="L20" s="16">
        <v>412332.01</v>
      </c>
      <c r="M20" s="16">
        <v>164932.78</v>
      </c>
    </row>
    <row r="21" spans="1:13" ht="12.75">
      <c r="A21" s="3">
        <v>40087</v>
      </c>
      <c r="B21" s="16">
        <v>49122584.47</v>
      </c>
      <c r="C21" s="16">
        <v>279253.19</v>
      </c>
      <c r="D21" s="16">
        <f t="shared" si="0"/>
        <v>44692339.63</v>
      </c>
      <c r="E21" s="16">
        <v>4150991.65</v>
      </c>
      <c r="F21" s="17">
        <v>775</v>
      </c>
      <c r="G21" s="16">
        <f>E21/F21/31</f>
        <v>172.7780083246618</v>
      </c>
      <c r="I21" s="16">
        <v>1494357.01</v>
      </c>
      <c r="J21" s="16">
        <v>1660396.67</v>
      </c>
      <c r="K21" s="16">
        <v>415099.18</v>
      </c>
      <c r="L21" s="16">
        <v>415099.18</v>
      </c>
      <c r="M21" s="16">
        <v>166039.68</v>
      </c>
    </row>
    <row r="22" spans="1:13" ht="12.75">
      <c r="A22" s="3">
        <v>40118</v>
      </c>
      <c r="B22" s="16">
        <v>47695979.49</v>
      </c>
      <c r="C22" s="16">
        <v>346709.2</v>
      </c>
      <c r="D22" s="16">
        <f t="shared" si="0"/>
        <v>43534956.89</v>
      </c>
      <c r="E22" s="16">
        <v>3814313.4</v>
      </c>
      <c r="F22" s="17">
        <v>775</v>
      </c>
      <c r="G22" s="16">
        <f>E22/F22/30</f>
        <v>164.05649032258063</v>
      </c>
      <c r="I22" s="16">
        <v>1427131.83</v>
      </c>
      <c r="J22" s="16">
        <v>1471746.38</v>
      </c>
      <c r="K22" s="16">
        <v>381431.35</v>
      </c>
      <c r="L22" s="16">
        <v>381431.35</v>
      </c>
      <c r="M22" s="16">
        <v>152572.55</v>
      </c>
    </row>
    <row r="23" spans="1:13" ht="12.75">
      <c r="A23" s="3">
        <v>40148</v>
      </c>
      <c r="B23" s="16">
        <v>41508965.84</v>
      </c>
      <c r="C23" s="16">
        <v>305847.74</v>
      </c>
      <c r="D23" s="16">
        <f t="shared" si="0"/>
        <v>37799522.42</v>
      </c>
      <c r="E23" s="16">
        <v>3403595.68</v>
      </c>
      <c r="F23" s="17">
        <v>775</v>
      </c>
      <c r="G23" s="16">
        <f>E23/F23/31</f>
        <v>141.668914880333</v>
      </c>
      <c r="I23" s="16">
        <v>1225294.45</v>
      </c>
      <c r="J23" s="16">
        <v>1361438.25</v>
      </c>
      <c r="K23" s="16">
        <v>340359.62</v>
      </c>
      <c r="L23" s="16">
        <v>340359.61</v>
      </c>
      <c r="M23" s="16">
        <v>136143.82</v>
      </c>
    </row>
    <row r="24" spans="1:13" ht="12.75">
      <c r="A24" s="3">
        <v>40179</v>
      </c>
      <c r="B24" s="16">
        <v>48422176.02</v>
      </c>
      <c r="C24" s="16">
        <v>362481.57</v>
      </c>
      <c r="D24" s="16">
        <f t="shared" si="0"/>
        <v>44132501.970000006</v>
      </c>
      <c r="E24" s="16">
        <v>3927192.48</v>
      </c>
      <c r="F24" s="17">
        <v>775</v>
      </c>
      <c r="G24" s="16">
        <f>E24/F24/31</f>
        <v>163.46274630593132</v>
      </c>
      <c r="I24" s="16">
        <v>1413789.31</v>
      </c>
      <c r="J24" s="16">
        <v>1570876.98</v>
      </c>
      <c r="K24" s="16">
        <v>392719.29</v>
      </c>
      <c r="L24" s="16">
        <v>392719.29</v>
      </c>
      <c r="M24" s="16">
        <v>157087.69</v>
      </c>
    </row>
    <row r="25" spans="1:13" ht="12.75">
      <c r="A25" s="3">
        <v>40210</v>
      </c>
      <c r="B25" s="16">
        <v>50693226.71</v>
      </c>
      <c r="C25" s="16">
        <v>378588.16</v>
      </c>
      <c r="D25" s="16">
        <f t="shared" si="0"/>
        <v>46284499.910000004</v>
      </c>
      <c r="E25" s="16">
        <v>4030138.64</v>
      </c>
      <c r="F25" s="17">
        <v>775</v>
      </c>
      <c r="G25" s="16">
        <f>E25/F25/28</f>
        <v>185.7206746543779</v>
      </c>
      <c r="I25" s="16">
        <v>1450849.91</v>
      </c>
      <c r="J25" s="16">
        <v>1612055.46</v>
      </c>
      <c r="K25" s="16">
        <v>403013.89</v>
      </c>
      <c r="L25" s="16">
        <v>403013.89</v>
      </c>
      <c r="M25" s="16">
        <v>161205.56</v>
      </c>
    </row>
    <row r="26" spans="1:13" ht="12.75">
      <c r="A26" s="3">
        <v>40238</v>
      </c>
      <c r="B26" s="16">
        <v>58224319.74</v>
      </c>
      <c r="C26" s="16">
        <v>472142.54</v>
      </c>
      <c r="D26" s="16">
        <f t="shared" si="0"/>
        <v>53055524.13</v>
      </c>
      <c r="E26" s="16">
        <v>4696653.07</v>
      </c>
      <c r="F26" s="17">
        <v>775</v>
      </c>
      <c r="G26" s="16">
        <f>E26/F26/31</f>
        <v>195.4902422476587</v>
      </c>
      <c r="I26" s="16">
        <v>1760297.01</v>
      </c>
      <c r="J26" s="16">
        <v>1809159.32</v>
      </c>
      <c r="K26" s="16">
        <v>469665.32</v>
      </c>
      <c r="L26" s="16">
        <v>469665.32</v>
      </c>
      <c r="M26" s="16">
        <v>187866.09</v>
      </c>
    </row>
    <row r="27" spans="1:13" ht="13.5" thickBot="1">
      <c r="A27" s="3" t="s">
        <v>19</v>
      </c>
      <c r="B27" s="18">
        <f>SUM(B15:B26)</f>
        <v>601594532.3800001</v>
      </c>
      <c r="C27" s="18">
        <f>SUM(C15:C26)</f>
        <v>2465822.04</v>
      </c>
      <c r="D27" s="18">
        <f>SUM(D15:D26)</f>
        <v>548974283.87</v>
      </c>
      <c r="E27" s="18">
        <f>SUM(E15:E26)</f>
        <v>50154426.46999999</v>
      </c>
      <c r="I27" s="18">
        <f>SUM(I15:I26)</f>
        <v>18179074.75</v>
      </c>
      <c r="J27" s="18">
        <f>SUM(J15:J26)</f>
        <v>19938289.7</v>
      </c>
      <c r="K27" s="18">
        <f>SUM(K15:K26)</f>
        <v>5015442.91</v>
      </c>
      <c r="L27" s="18">
        <f>SUM(L15:L26)</f>
        <v>5015442.9</v>
      </c>
      <c r="M27" s="18">
        <f>SUM(M15:M26)</f>
        <v>2006177.0000000002</v>
      </c>
    </row>
    <row r="28" spans="2:13" ht="10.5" customHeight="1" thickTop="1">
      <c r="B28" s="19"/>
      <c r="C28" s="19"/>
      <c r="D28" s="19"/>
      <c r="E28" s="19"/>
      <c r="I28" s="19"/>
      <c r="J28" s="19"/>
      <c r="K28" s="19"/>
      <c r="L28" s="19"/>
      <c r="M28" s="19"/>
    </row>
    <row r="29" spans="1:13" s="22" customFormat="1" ht="12.75">
      <c r="A29" s="20"/>
      <c r="B29" s="21"/>
      <c r="C29" s="21">
        <f>C27/B27</f>
        <v>0.004098810589658836</v>
      </c>
      <c r="D29" s="21">
        <f>D27/B27</f>
        <v>0.9125320366496246</v>
      </c>
      <c r="E29" s="21">
        <f>E27/B27</f>
        <v>0.08336915276071642</v>
      </c>
      <c r="I29" s="21">
        <f>I27/$E$27</f>
        <v>0.36246202039363096</v>
      </c>
      <c r="J29" s="21">
        <f>J27/$E$27</f>
        <v>0.39753798624187525</v>
      </c>
      <c r="K29" s="21">
        <f>K27/$E$27</f>
        <v>0.10000000524380438</v>
      </c>
      <c r="L29" s="21">
        <f>L27/$E$27</f>
        <v>0.10000000504442018</v>
      </c>
      <c r="M29" s="21">
        <f>M27/$E$27</f>
        <v>0.03999999882762094</v>
      </c>
    </row>
    <row r="31" spans="1:13" s="23" customFormat="1" ht="12.75">
      <c r="A31" s="64" t="s">
        <v>20</v>
      </c>
      <c r="B31" s="65"/>
      <c r="C31" s="65"/>
      <c r="D31" s="65"/>
      <c r="E31" s="65"/>
      <c r="F31" s="65"/>
      <c r="G31" s="65"/>
      <c r="H31" s="65"/>
      <c r="I31" s="65"/>
      <c r="J31" s="65"/>
      <c r="K31" s="65"/>
      <c r="L31" s="65"/>
      <c r="M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87</v>
      </c>
      <c r="B36" s="26"/>
      <c r="C36" s="26" t="s">
        <v>51</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22</v>
      </c>
      <c r="B38" s="42"/>
      <c r="C38" s="43" t="s">
        <v>23</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24</v>
      </c>
      <c r="B40" s="42"/>
      <c r="C40" s="42" t="s">
        <v>52</v>
      </c>
      <c r="D40" s="46"/>
      <c r="E40" s="47"/>
      <c r="F40" s="42"/>
      <c r="G40" s="42"/>
      <c r="H40" s="42"/>
      <c r="I40" s="42"/>
      <c r="J40" s="42"/>
      <c r="K40" s="42"/>
      <c r="L40" s="42"/>
    </row>
    <row r="41" spans="1:12" s="45" customFormat="1" ht="12.75">
      <c r="A41" s="41"/>
      <c r="B41" s="42"/>
      <c r="C41" s="42" t="s">
        <v>53</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27</v>
      </c>
      <c r="B43" s="42"/>
      <c r="C43" s="42" t="s">
        <v>28</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65</v>
      </c>
      <c r="B45" s="42"/>
      <c r="C45" s="42" t="s">
        <v>68</v>
      </c>
      <c r="D45" s="46"/>
      <c r="E45" s="47"/>
      <c r="F45" s="42"/>
      <c r="G45" s="42"/>
      <c r="H45" s="42"/>
      <c r="I45" s="42"/>
      <c r="J45" s="42"/>
      <c r="K45" s="42"/>
      <c r="L45" s="42"/>
    </row>
    <row r="46" spans="1:12" s="45" customFormat="1" ht="12.75">
      <c r="A46" s="41"/>
      <c r="B46" s="42"/>
      <c r="C46" s="42" t="s">
        <v>75</v>
      </c>
      <c r="D46" s="46"/>
      <c r="E46" s="47"/>
      <c r="F46" s="42"/>
      <c r="G46" s="42"/>
      <c r="H46" s="42"/>
      <c r="I46" s="42"/>
      <c r="J46" s="42"/>
      <c r="K46" s="42"/>
      <c r="L46" s="42"/>
    </row>
    <row r="47" spans="1:12" s="45" customFormat="1" ht="12.75">
      <c r="A47" s="41"/>
      <c r="B47" s="42"/>
      <c r="C47" s="42" t="s">
        <v>76</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29</v>
      </c>
      <c r="B49" s="42"/>
      <c r="C49" s="42" t="s">
        <v>66</v>
      </c>
      <c r="D49" s="46"/>
      <c r="E49" s="47"/>
      <c r="F49" s="42"/>
      <c r="G49" s="42"/>
      <c r="H49" s="42"/>
      <c r="I49" s="42"/>
      <c r="J49" s="42"/>
      <c r="K49" s="42"/>
      <c r="L49" s="42"/>
    </row>
    <row r="50" spans="1:12" s="45" customFormat="1" ht="12.75">
      <c r="A50" s="41"/>
      <c r="B50" s="42"/>
      <c r="C50" s="42" t="s">
        <v>67</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69</v>
      </c>
      <c r="B52" s="42"/>
      <c r="C52" s="42" t="s">
        <v>70</v>
      </c>
      <c r="D52" s="46"/>
      <c r="E52" s="47"/>
      <c r="F52" s="42"/>
      <c r="G52" s="42"/>
      <c r="H52" s="42"/>
      <c r="I52" s="42"/>
      <c r="J52" s="42"/>
      <c r="K52" s="42"/>
      <c r="L52" s="42"/>
    </row>
    <row r="53" spans="1:12" s="45" customFormat="1" ht="12.75">
      <c r="A53" s="48"/>
      <c r="B53" s="42"/>
      <c r="C53" s="42" t="s">
        <v>71</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44</v>
      </c>
      <c r="B55" s="42"/>
      <c r="C55" s="42" t="s">
        <v>54</v>
      </c>
      <c r="D55" s="46"/>
      <c r="E55" s="47"/>
      <c r="F55" s="42"/>
      <c r="G55" s="42"/>
      <c r="H55" s="42"/>
      <c r="I55" s="42"/>
      <c r="J55" s="42"/>
      <c r="K55" s="42"/>
      <c r="L55" s="46"/>
    </row>
    <row r="56" spans="1:12" s="45" customFormat="1" ht="12.75">
      <c r="A56" s="48"/>
      <c r="B56" s="42"/>
      <c r="C56" s="42" t="s">
        <v>55</v>
      </c>
      <c r="D56" s="46"/>
      <c r="E56" s="47"/>
      <c r="F56" s="42"/>
      <c r="G56" s="42"/>
      <c r="H56" s="42"/>
      <c r="I56" s="42"/>
      <c r="J56" s="42"/>
      <c r="K56" s="42"/>
      <c r="L56" s="46"/>
    </row>
    <row r="57" spans="1:12" s="45" customFormat="1" ht="12.75">
      <c r="A57" s="48"/>
      <c r="B57" s="42"/>
      <c r="C57" s="42" t="s">
        <v>56</v>
      </c>
      <c r="D57" s="46"/>
      <c r="E57" s="47"/>
      <c r="F57" s="42"/>
      <c r="G57" s="42"/>
      <c r="H57" s="42"/>
      <c r="I57" s="42"/>
      <c r="J57" s="42"/>
      <c r="K57" s="42"/>
      <c r="L57" s="46"/>
    </row>
    <row r="58" spans="1:13" ht="12.75">
      <c r="A58" s="29"/>
      <c r="B58" s="30"/>
      <c r="C58" s="30"/>
      <c r="D58" s="26"/>
      <c r="E58" s="30"/>
      <c r="F58" s="31"/>
      <c r="G58" s="30"/>
      <c r="H58" s="30"/>
      <c r="I58" s="30"/>
      <c r="J58" s="30"/>
      <c r="K58" s="30"/>
      <c r="L58" s="30"/>
      <c r="M58" s="30"/>
    </row>
    <row r="59" spans="1:13" s="23" customFormat="1" ht="12.75">
      <c r="A59" s="64" t="s">
        <v>30</v>
      </c>
      <c r="B59" s="65"/>
      <c r="C59" s="65"/>
      <c r="D59" s="65"/>
      <c r="E59" s="65"/>
      <c r="F59" s="65"/>
      <c r="G59" s="65"/>
      <c r="H59" s="65"/>
      <c r="I59" s="65"/>
      <c r="J59" s="65"/>
      <c r="K59" s="65"/>
      <c r="L59" s="65"/>
      <c r="M59" s="66"/>
    </row>
    <row r="60" ht="12.75">
      <c r="A60" s="24"/>
    </row>
    <row r="61" spans="1:13" ht="13.5">
      <c r="A61" s="32"/>
      <c r="G61" s="10" t="s">
        <v>8</v>
      </c>
      <c r="H61" s="33"/>
      <c r="I61" s="10" t="s">
        <v>72</v>
      </c>
      <c r="J61" s="10" t="s">
        <v>9</v>
      </c>
      <c r="K61" s="53" t="s">
        <v>73</v>
      </c>
      <c r="L61" s="10" t="s">
        <v>42</v>
      </c>
      <c r="M61" s="34"/>
    </row>
    <row r="62" spans="1:13" ht="12.75">
      <c r="A62" s="35"/>
      <c r="G62" s="8" t="s">
        <v>16</v>
      </c>
      <c r="H62" s="36"/>
      <c r="I62" s="8" t="s">
        <v>17</v>
      </c>
      <c r="J62" s="8" t="s">
        <v>18</v>
      </c>
      <c r="K62" s="54" t="s">
        <v>74</v>
      </c>
      <c r="L62" s="8" t="s">
        <v>43</v>
      </c>
      <c r="M62" s="34"/>
    </row>
    <row r="63" spans="2:13" ht="12.75">
      <c r="B63" s="37" t="s">
        <v>31</v>
      </c>
      <c r="C63" s="37"/>
      <c r="D63" s="37"/>
      <c r="E63" s="26"/>
      <c r="F63" s="27"/>
      <c r="G63" s="38">
        <v>0.36</v>
      </c>
      <c r="H63" s="26"/>
      <c r="I63" s="38">
        <v>0.4</v>
      </c>
      <c r="J63" s="38">
        <v>0.1</v>
      </c>
      <c r="K63" s="38">
        <v>0.1</v>
      </c>
      <c r="L63" s="38">
        <v>0.04</v>
      </c>
      <c r="M63" s="39"/>
    </row>
    <row r="64" spans="2:13" ht="12.75">
      <c r="B64" s="37" t="s">
        <v>46</v>
      </c>
      <c r="C64" s="37"/>
      <c r="D64" s="37"/>
      <c r="E64" s="26"/>
      <c r="F64" s="27"/>
      <c r="G64" s="38">
        <v>0.47</v>
      </c>
      <c r="H64" s="26"/>
      <c r="I64" s="38">
        <v>0.29</v>
      </c>
      <c r="J64" s="38">
        <v>0.1</v>
      </c>
      <c r="K64" s="38">
        <v>0.1</v>
      </c>
      <c r="L64" s="38">
        <v>0.04</v>
      </c>
      <c r="M64" s="39"/>
    </row>
    <row r="65" spans="2:13" ht="12.75">
      <c r="B65" s="37" t="s">
        <v>47</v>
      </c>
      <c r="C65" s="37"/>
      <c r="D65" s="37"/>
      <c r="E65" s="26"/>
      <c r="F65" s="27"/>
      <c r="G65" s="38">
        <v>0.51</v>
      </c>
      <c r="H65" s="26"/>
      <c r="I65" s="38">
        <v>0.29</v>
      </c>
      <c r="J65" s="38">
        <v>0.1</v>
      </c>
      <c r="K65" s="38">
        <v>0.1</v>
      </c>
      <c r="L65" s="38">
        <v>0</v>
      </c>
      <c r="M65" s="39"/>
    </row>
    <row r="66" spans="2:13" ht="12.75">
      <c r="B66" s="37" t="s">
        <v>33</v>
      </c>
      <c r="C66" s="37"/>
      <c r="D66" s="37"/>
      <c r="E66" s="26"/>
      <c r="F66" s="27"/>
      <c r="G66" s="38">
        <v>0.53</v>
      </c>
      <c r="H66" s="26"/>
      <c r="I66" s="38">
        <v>0.29</v>
      </c>
      <c r="J66" s="38">
        <v>0.08</v>
      </c>
      <c r="K66" s="38">
        <v>0.1</v>
      </c>
      <c r="L66" s="38">
        <v>0</v>
      </c>
      <c r="M66" s="39"/>
    </row>
    <row r="67" spans="2:13" ht="12.75">
      <c r="B67" s="37" t="s">
        <v>34</v>
      </c>
      <c r="C67" s="37"/>
      <c r="D67" s="37"/>
      <c r="E67" s="26"/>
      <c r="F67" s="27"/>
      <c r="G67" s="38">
        <v>0.56</v>
      </c>
      <c r="H67" s="26"/>
      <c r="I67" s="38">
        <v>0.26</v>
      </c>
      <c r="J67" s="38">
        <v>0.08</v>
      </c>
      <c r="K67" s="38">
        <v>0.1</v>
      </c>
      <c r="L67" s="38">
        <v>0</v>
      </c>
      <c r="M67" s="39"/>
    </row>
    <row r="68" ht="12.75">
      <c r="A68" s="24"/>
    </row>
    <row r="69" spans="1:13" s="23" customFormat="1" ht="12.75">
      <c r="A69" s="68" t="s">
        <v>37</v>
      </c>
      <c r="B69" s="69"/>
      <c r="C69" s="69"/>
      <c r="D69" s="69"/>
      <c r="E69" s="69"/>
      <c r="F69" s="69"/>
      <c r="G69" s="69"/>
      <c r="H69" s="69"/>
      <c r="I69" s="69"/>
      <c r="J69" s="69"/>
      <c r="K69" s="69"/>
      <c r="L69" s="69"/>
      <c r="M69" s="70"/>
    </row>
    <row r="70" spans="1:6" ht="12.75">
      <c r="A70" s="24"/>
      <c r="E70"/>
      <c r="F70" s="16"/>
    </row>
    <row r="71" spans="1:13" ht="51.75" customHeight="1">
      <c r="A71" s="72" t="s">
        <v>50</v>
      </c>
      <c r="B71" s="72"/>
      <c r="C71" s="72"/>
      <c r="D71" s="72"/>
      <c r="E71" s="72"/>
      <c r="F71" s="72"/>
      <c r="G71" s="72"/>
      <c r="H71" s="72"/>
      <c r="I71" s="72"/>
      <c r="J71" s="72"/>
      <c r="K71" s="72"/>
      <c r="L71" s="72"/>
      <c r="M71" s="72"/>
    </row>
    <row r="72" spans="1:6" ht="12.75">
      <c r="A72" s="16"/>
      <c r="E72"/>
      <c r="F72" s="16"/>
    </row>
    <row r="73" spans="2:5" ht="12.75">
      <c r="B73" s="24" t="s">
        <v>38</v>
      </c>
      <c r="C73" s="24"/>
      <c r="D73" s="24"/>
      <c r="E73" s="16">
        <v>114890</v>
      </c>
    </row>
    <row r="74" spans="2:5" ht="12.75">
      <c r="B74" s="24" t="s">
        <v>39</v>
      </c>
      <c r="C74" s="24"/>
      <c r="D74" s="24"/>
      <c r="E74" s="16">
        <v>203577</v>
      </c>
    </row>
    <row r="75" spans="2:5" ht="12.75">
      <c r="B75" s="16" t="s">
        <v>35</v>
      </c>
      <c r="E75" s="16" t="s">
        <v>35</v>
      </c>
    </row>
    <row r="76" ht="12.75">
      <c r="E76" s="16" t="s">
        <v>35</v>
      </c>
    </row>
    <row r="77" ht="12.75">
      <c r="A77" s="24" t="s">
        <v>36</v>
      </c>
    </row>
  </sheetData>
  <sheetProtection/>
  <mergeCells count="11">
    <mergeCell ref="A69:M69"/>
    <mergeCell ref="A71:M71"/>
    <mergeCell ref="A31:M31"/>
    <mergeCell ref="A59:M59"/>
    <mergeCell ref="I10:M10"/>
    <mergeCell ref="A8:M8"/>
    <mergeCell ref="A1:M1"/>
    <mergeCell ref="A4:M4"/>
    <mergeCell ref="A3:M3"/>
    <mergeCell ref="A2:M2"/>
    <mergeCell ref="A5:M5"/>
  </mergeCells>
  <hyperlinks>
    <hyperlink ref="A4" r:id="rId1" display="www.tiogadowns.com"/>
  </hyperlinks>
  <printOptions horizontalCentered="1"/>
  <pageMargins left="0.25" right="0.25" top="0.75" bottom="0.5" header="0.5" footer="0.5"/>
  <pageSetup fitToHeight="1" fitToWidth="1" horizontalDpi="600" verticalDpi="600" orientation="portrait" scale="73"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A1" sqref="A1:L1"/>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2" width="13.7109375" style="16" customWidth="1"/>
    <col min="13" max="13" width="12.7109375" style="0" customWidth="1"/>
  </cols>
  <sheetData>
    <row r="1" spans="1:12" ht="18">
      <c r="A1" s="60" t="s">
        <v>48</v>
      </c>
      <c r="B1" s="60"/>
      <c r="C1" s="60"/>
      <c r="D1" s="60"/>
      <c r="E1" s="60"/>
      <c r="F1" s="60"/>
      <c r="G1" s="60"/>
      <c r="H1" s="60"/>
      <c r="I1" s="60"/>
      <c r="J1" s="60"/>
      <c r="K1" s="60"/>
      <c r="L1" s="60"/>
    </row>
    <row r="2" spans="1:12" ht="15">
      <c r="A2" s="61" t="s">
        <v>0</v>
      </c>
      <c r="B2" s="61"/>
      <c r="C2" s="61"/>
      <c r="D2" s="61"/>
      <c r="E2" s="61"/>
      <c r="F2" s="61"/>
      <c r="G2" s="61"/>
      <c r="H2" s="61"/>
      <c r="I2" s="61"/>
      <c r="J2" s="61"/>
      <c r="K2" s="61"/>
      <c r="L2" s="61"/>
    </row>
    <row r="3" spans="1:12" s="1" customFormat="1" ht="15">
      <c r="A3" s="61" t="s">
        <v>1</v>
      </c>
      <c r="B3" s="61"/>
      <c r="C3" s="61"/>
      <c r="D3" s="61"/>
      <c r="E3" s="61"/>
      <c r="F3" s="61"/>
      <c r="G3" s="61"/>
      <c r="H3" s="61"/>
      <c r="I3" s="61"/>
      <c r="J3" s="61"/>
      <c r="K3" s="61"/>
      <c r="L3" s="61"/>
    </row>
    <row r="4" spans="1:12" s="1" customFormat="1" ht="14.25" customHeight="1">
      <c r="A4" s="62" t="s">
        <v>2</v>
      </c>
      <c r="B4" s="62"/>
      <c r="C4" s="62"/>
      <c r="D4" s="62"/>
      <c r="E4" s="62"/>
      <c r="F4" s="62"/>
      <c r="G4" s="62"/>
      <c r="H4" s="62"/>
      <c r="I4" s="62"/>
      <c r="J4" s="62"/>
      <c r="K4" s="62"/>
      <c r="L4" s="62"/>
    </row>
    <row r="5" spans="1:12" s="1" customFormat="1" ht="14.25">
      <c r="A5" s="63" t="s">
        <v>3</v>
      </c>
      <c r="B5" s="63"/>
      <c r="C5" s="63"/>
      <c r="D5" s="63"/>
      <c r="E5" s="63"/>
      <c r="F5" s="63"/>
      <c r="G5" s="63"/>
      <c r="H5" s="63"/>
      <c r="I5" s="63"/>
      <c r="J5" s="63"/>
      <c r="K5" s="63"/>
      <c r="L5" s="63"/>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64" t="s">
        <v>41</v>
      </c>
      <c r="B8" s="65"/>
      <c r="C8" s="65"/>
      <c r="D8" s="65"/>
      <c r="E8" s="65"/>
      <c r="F8" s="65"/>
      <c r="G8" s="65"/>
      <c r="H8" s="65"/>
      <c r="I8" s="65"/>
      <c r="J8" s="65"/>
      <c r="K8" s="65"/>
      <c r="L8" s="66"/>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67" t="s">
        <v>4</v>
      </c>
      <c r="I10" s="67"/>
      <c r="J10" s="67"/>
      <c r="K10" s="67"/>
      <c r="L10" s="67"/>
    </row>
    <row r="11" spans="1:12" s="1" customFormat="1" ht="7.5" customHeight="1">
      <c r="A11" s="3"/>
      <c r="B11" s="5"/>
      <c r="C11" s="5"/>
      <c r="D11" s="5"/>
      <c r="E11" s="6"/>
      <c r="F11" s="5"/>
      <c r="G11" s="5"/>
      <c r="H11" s="5"/>
      <c r="I11" s="5"/>
      <c r="J11" s="5"/>
      <c r="K11" s="5"/>
      <c r="L11" s="5"/>
    </row>
    <row r="12" spans="1:12" s="12" customFormat="1" ht="12">
      <c r="A12" s="9"/>
      <c r="B12" s="10" t="s">
        <v>5</v>
      </c>
      <c r="C12" s="10" t="s">
        <v>5</v>
      </c>
      <c r="D12" s="10"/>
      <c r="E12" s="11" t="s">
        <v>6</v>
      </c>
      <c r="F12" s="10" t="s">
        <v>7</v>
      </c>
      <c r="G12" s="10"/>
      <c r="H12" s="10" t="s">
        <v>8</v>
      </c>
      <c r="I12" s="10" t="s">
        <v>72</v>
      </c>
      <c r="J12" s="10" t="s">
        <v>9</v>
      </c>
      <c r="K12" s="10" t="s">
        <v>73</v>
      </c>
      <c r="L12" s="10" t="s">
        <v>42</v>
      </c>
    </row>
    <row r="13" spans="1:12" s="12" customFormat="1" ht="12">
      <c r="A13" s="13" t="s">
        <v>10</v>
      </c>
      <c r="B13" s="8" t="s">
        <v>11</v>
      </c>
      <c r="C13" s="8" t="s">
        <v>12</v>
      </c>
      <c r="D13" s="8" t="s">
        <v>13</v>
      </c>
      <c r="E13" s="14" t="s">
        <v>14</v>
      </c>
      <c r="F13" s="8" t="s">
        <v>15</v>
      </c>
      <c r="G13" s="15"/>
      <c r="H13" s="8" t="s">
        <v>16</v>
      </c>
      <c r="I13" s="8" t="s">
        <v>17</v>
      </c>
      <c r="J13" s="8" t="s">
        <v>18</v>
      </c>
      <c r="K13" s="8" t="s">
        <v>74</v>
      </c>
      <c r="L13" s="8" t="s">
        <v>43</v>
      </c>
    </row>
    <row r="15" spans="1:12" ht="12.75">
      <c r="A15" s="3">
        <v>39539</v>
      </c>
      <c r="B15" s="16">
        <v>47528559.88</v>
      </c>
      <c r="C15" s="16">
        <f aca="true" t="shared" si="0" ref="C15:C26">B15-D15</f>
        <v>43767588.43</v>
      </c>
      <c r="D15" s="16">
        <v>3760971.45</v>
      </c>
      <c r="E15" s="17">
        <v>750</v>
      </c>
      <c r="F15" s="16">
        <f>D15/E15/30</f>
        <v>167.15428666666668</v>
      </c>
      <c r="H15" s="16">
        <v>1353949.75</v>
      </c>
      <c r="I15" s="16">
        <v>1504388.56</v>
      </c>
      <c r="J15" s="16">
        <v>376097.18</v>
      </c>
      <c r="K15" s="16">
        <v>376097.18</v>
      </c>
      <c r="L15" s="16">
        <v>150483.86</v>
      </c>
    </row>
    <row r="16" spans="1:12" ht="12.75">
      <c r="A16" s="3">
        <v>39569</v>
      </c>
      <c r="B16" s="16">
        <v>55972724.86</v>
      </c>
      <c r="C16" s="16">
        <f t="shared" si="0"/>
        <v>51354524.69</v>
      </c>
      <c r="D16" s="16">
        <v>4618200.17</v>
      </c>
      <c r="E16" s="17">
        <v>750</v>
      </c>
      <c r="F16" s="16">
        <f>D16/E16/31</f>
        <v>198.63226537634407</v>
      </c>
      <c r="H16" s="16">
        <v>1662552.11</v>
      </c>
      <c r="I16" s="16">
        <v>1847280.07</v>
      </c>
      <c r="J16" s="16">
        <v>461820.01</v>
      </c>
      <c r="K16" s="16">
        <v>461820.01</v>
      </c>
      <c r="L16" s="16">
        <v>184728</v>
      </c>
    </row>
    <row r="17" spans="1:12" ht="12.75">
      <c r="A17" s="3">
        <v>39600</v>
      </c>
      <c r="B17" s="16">
        <v>50917045.77</v>
      </c>
      <c r="C17" s="16">
        <f t="shared" si="0"/>
        <v>46845151.440000005</v>
      </c>
      <c r="D17" s="16">
        <v>4071894.33</v>
      </c>
      <c r="E17" s="17">
        <v>750</v>
      </c>
      <c r="F17" s="16">
        <f>D17/E17/30</f>
        <v>180.97308133333334</v>
      </c>
      <c r="H17" s="16">
        <v>1465882</v>
      </c>
      <c r="I17" s="16">
        <v>1628757.72</v>
      </c>
      <c r="J17" s="16">
        <v>407189.47</v>
      </c>
      <c r="K17" s="16">
        <v>407189.47</v>
      </c>
      <c r="L17" s="16">
        <v>162875.75</v>
      </c>
    </row>
    <row r="18" spans="1:12" ht="12.75">
      <c r="A18" s="3">
        <v>39630</v>
      </c>
      <c r="B18" s="16">
        <v>54866334.02</v>
      </c>
      <c r="C18" s="16">
        <f t="shared" si="0"/>
        <v>50339770.96</v>
      </c>
      <c r="D18" s="16">
        <v>4526563.06</v>
      </c>
      <c r="E18" s="17">
        <v>750</v>
      </c>
      <c r="F18" s="16">
        <f>D18/E18/31</f>
        <v>194.69088430107524</v>
      </c>
      <c r="H18" s="16">
        <v>1629562.71</v>
      </c>
      <c r="I18" s="16">
        <v>1810625.22</v>
      </c>
      <c r="J18" s="16">
        <v>452656.34</v>
      </c>
      <c r="K18" s="16">
        <v>452656.34</v>
      </c>
      <c r="L18" s="16">
        <v>181062.56</v>
      </c>
    </row>
    <row r="19" spans="1:12" ht="12.75">
      <c r="A19" s="3">
        <v>39661</v>
      </c>
      <c r="B19" s="16">
        <v>55191316.62</v>
      </c>
      <c r="C19" s="16">
        <f t="shared" si="0"/>
        <v>50547270.57</v>
      </c>
      <c r="D19" s="16">
        <v>4644046.05</v>
      </c>
      <c r="E19" s="17">
        <v>750</v>
      </c>
      <c r="F19" s="16">
        <f>D19/E19/31</f>
        <v>199.74391612903224</v>
      </c>
      <c r="H19" s="16">
        <v>1671856.6</v>
      </c>
      <c r="I19" s="16">
        <v>1857618.41</v>
      </c>
      <c r="J19" s="16">
        <v>464404.63</v>
      </c>
      <c r="K19" s="16">
        <v>464404.63</v>
      </c>
      <c r="L19" s="16">
        <v>185761.85</v>
      </c>
    </row>
    <row r="20" spans="1:12" ht="12.75">
      <c r="A20" s="3">
        <v>39692</v>
      </c>
      <c r="B20" s="16">
        <v>47630304.99</v>
      </c>
      <c r="C20" s="16">
        <f t="shared" si="0"/>
        <v>43674431</v>
      </c>
      <c r="D20" s="16">
        <v>3955873.99</v>
      </c>
      <c r="E20" s="17">
        <v>750</v>
      </c>
      <c r="F20" s="16">
        <f>D20/E20/30</f>
        <v>175.8166217777778</v>
      </c>
      <c r="H20" s="16">
        <v>1424114.67</v>
      </c>
      <c r="I20" s="16">
        <v>1582349.6</v>
      </c>
      <c r="J20" s="16">
        <v>395587.4</v>
      </c>
      <c r="K20" s="16">
        <v>395587.4</v>
      </c>
      <c r="L20" s="16">
        <v>158234.99</v>
      </c>
    </row>
    <row r="21" spans="1:12" ht="12.75">
      <c r="A21" s="3">
        <v>39722</v>
      </c>
      <c r="B21" s="16">
        <v>47739792.55</v>
      </c>
      <c r="C21" s="16">
        <f t="shared" si="0"/>
        <v>43816248.809999995</v>
      </c>
      <c r="D21" s="16">
        <v>3923543.74</v>
      </c>
      <c r="E21" s="17">
        <v>753.2258064516129</v>
      </c>
      <c r="F21" s="16">
        <f>D21/E21/31</f>
        <v>168.03185182012848</v>
      </c>
      <c r="H21" s="16">
        <v>1412475.78</v>
      </c>
      <c r="I21" s="16">
        <v>1569417.49</v>
      </c>
      <c r="J21" s="16">
        <v>392354.36</v>
      </c>
      <c r="K21" s="16">
        <v>392354.36</v>
      </c>
      <c r="L21" s="16">
        <v>156941.74</v>
      </c>
    </row>
    <row r="22" spans="1:12" ht="12.75">
      <c r="A22" s="3">
        <v>39753</v>
      </c>
      <c r="B22" s="16">
        <v>43931355.01</v>
      </c>
      <c r="C22" s="16">
        <f t="shared" si="0"/>
        <v>40367216.67</v>
      </c>
      <c r="D22" s="16">
        <v>3564138.34</v>
      </c>
      <c r="E22" s="17">
        <v>754</v>
      </c>
      <c r="F22" s="16">
        <f>D22/E22/30</f>
        <v>157.56579752431477</v>
      </c>
      <c r="H22" s="16">
        <v>1283089.81</v>
      </c>
      <c r="I22" s="16">
        <v>1425655.34</v>
      </c>
      <c r="J22" s="16">
        <v>356413.86</v>
      </c>
      <c r="K22" s="16">
        <v>356413.86</v>
      </c>
      <c r="L22" s="16">
        <v>142565.55</v>
      </c>
    </row>
    <row r="23" spans="1:12" ht="12.75">
      <c r="A23" s="3">
        <v>39783</v>
      </c>
      <c r="B23" s="16">
        <v>37487365.2</v>
      </c>
      <c r="C23" s="16">
        <f t="shared" si="0"/>
        <v>34304627.1</v>
      </c>
      <c r="D23" s="16">
        <v>3182738.1</v>
      </c>
      <c r="E23" s="17">
        <v>757.8709677419355</v>
      </c>
      <c r="F23" s="16">
        <f>D23/E23/31</f>
        <v>135.47025197922875</v>
      </c>
      <c r="H23" s="16">
        <v>1145785.77</v>
      </c>
      <c r="I23" s="16">
        <v>1273095.23</v>
      </c>
      <c r="J23" s="16">
        <v>318273.83</v>
      </c>
      <c r="K23" s="16">
        <v>318273.83</v>
      </c>
      <c r="L23" s="16">
        <v>127309.54</v>
      </c>
    </row>
    <row r="24" spans="1:12" ht="12.75">
      <c r="A24" s="3">
        <v>39814</v>
      </c>
      <c r="B24" s="16">
        <v>41405300.89</v>
      </c>
      <c r="C24" s="16">
        <f t="shared" si="0"/>
        <v>37856320.02</v>
      </c>
      <c r="D24" s="16">
        <v>3548980.87</v>
      </c>
      <c r="E24" s="17">
        <v>766</v>
      </c>
      <c r="F24" s="16">
        <f>D24/E24/31</f>
        <v>149.45594500126336</v>
      </c>
      <c r="H24" s="16">
        <v>1277633.17</v>
      </c>
      <c r="I24" s="16">
        <v>1419592.37</v>
      </c>
      <c r="J24" s="16">
        <v>354898.09</v>
      </c>
      <c r="K24" s="16">
        <v>354898.09</v>
      </c>
      <c r="L24" s="16">
        <v>141959.23</v>
      </c>
    </row>
    <row r="25" spans="1:12" ht="12.75">
      <c r="A25" s="3">
        <v>39845</v>
      </c>
      <c r="B25" s="16">
        <v>47425653.39</v>
      </c>
      <c r="C25" s="16">
        <f t="shared" si="0"/>
        <v>43354707.86</v>
      </c>
      <c r="D25" s="16">
        <v>4070945.53</v>
      </c>
      <c r="E25" s="17">
        <v>766</v>
      </c>
      <c r="F25" s="16">
        <f>D25/E25/28</f>
        <v>189.80536786646775</v>
      </c>
      <c r="H25" s="16">
        <v>1465540.42</v>
      </c>
      <c r="I25" s="16">
        <v>1628378.22</v>
      </c>
      <c r="J25" s="16">
        <v>407094.59</v>
      </c>
      <c r="K25" s="16">
        <v>407094.59</v>
      </c>
      <c r="L25" s="16">
        <v>162837.84</v>
      </c>
    </row>
    <row r="26" spans="1:12" ht="12.75">
      <c r="A26" s="3">
        <v>39873</v>
      </c>
      <c r="B26" s="16">
        <v>50873252.31</v>
      </c>
      <c r="C26" s="16">
        <f t="shared" si="0"/>
        <v>46641357.99</v>
      </c>
      <c r="D26" s="16">
        <v>4231894.32</v>
      </c>
      <c r="E26" s="17">
        <v>766</v>
      </c>
      <c r="F26" s="16">
        <f>D26/E26/31</f>
        <v>178.2150391644909</v>
      </c>
      <c r="H26" s="16">
        <v>1523481.99</v>
      </c>
      <c r="I26" s="16">
        <v>1692757.74</v>
      </c>
      <c r="J26" s="16">
        <v>423189.45</v>
      </c>
      <c r="K26" s="16">
        <v>423189.45</v>
      </c>
      <c r="L26" s="16">
        <v>169275.8</v>
      </c>
    </row>
    <row r="27" spans="1:12" ht="13.5" thickBot="1">
      <c r="A27" s="3" t="s">
        <v>19</v>
      </c>
      <c r="B27" s="18">
        <f>SUM(B15:B26)</f>
        <v>580969005.49</v>
      </c>
      <c r="C27" s="18">
        <f>SUM(C15:C26)</f>
        <v>532869215.5400001</v>
      </c>
      <c r="D27" s="18">
        <f>SUM(D15:D26)</f>
        <v>48099789.949999996</v>
      </c>
      <c r="H27" s="18">
        <f>SUM(H15:H26)</f>
        <v>17315924.779999997</v>
      </c>
      <c r="I27" s="18">
        <f>SUM(I15:I26)</f>
        <v>19239915.969999995</v>
      </c>
      <c r="J27" s="18">
        <f>SUM(J15:J26)</f>
        <v>4809979.21</v>
      </c>
      <c r="K27" s="18">
        <f>SUM(K15:K26)</f>
        <v>4809979.21</v>
      </c>
      <c r="L27" s="18">
        <f>SUM(L15:L26)</f>
        <v>1924036.7100000002</v>
      </c>
    </row>
    <row r="28" spans="2:12" ht="10.5" customHeight="1" thickTop="1">
      <c r="B28" s="19"/>
      <c r="C28" s="19"/>
      <c r="D28" s="19"/>
      <c r="H28" s="19"/>
      <c r="I28" s="19"/>
      <c r="J28" s="19"/>
      <c r="K28" s="19"/>
      <c r="L28" s="19"/>
    </row>
    <row r="29" spans="1:12" s="22" customFormat="1" ht="12.75">
      <c r="A29" s="20"/>
      <c r="B29" s="21"/>
      <c r="C29" s="21">
        <f>C27/B27</f>
        <v>0.9172076487807956</v>
      </c>
      <c r="D29" s="21">
        <f>D27/B27</f>
        <v>0.08279235121920445</v>
      </c>
      <c r="H29" s="21">
        <f>H27/$D$27</f>
        <v>0.3600000082744644</v>
      </c>
      <c r="I29" s="21">
        <f>I27/$D$27</f>
        <v>0.3999999997920988</v>
      </c>
      <c r="J29" s="21">
        <f>J27/$D$27</f>
        <v>0.100000004469874</v>
      </c>
      <c r="K29" s="21">
        <f>K27/$D$27</f>
        <v>0.100000004469874</v>
      </c>
      <c r="L29" s="21">
        <f>L27/$D$27</f>
        <v>0.040000937883513575</v>
      </c>
    </row>
    <row r="31" spans="1:12" s="23" customFormat="1" ht="12.75">
      <c r="A31" s="64" t="s">
        <v>20</v>
      </c>
      <c r="B31" s="65"/>
      <c r="C31" s="65"/>
      <c r="D31" s="65"/>
      <c r="E31" s="65"/>
      <c r="F31" s="65"/>
      <c r="G31" s="65"/>
      <c r="H31" s="65"/>
      <c r="I31" s="65"/>
      <c r="J31" s="65"/>
      <c r="K31" s="65"/>
      <c r="L31" s="66"/>
    </row>
    <row r="32" ht="12.75">
      <c r="A32" s="24"/>
    </row>
    <row r="33" spans="1:12" s="45" customFormat="1" ht="12.75" customHeight="1">
      <c r="A33" s="41" t="s">
        <v>21</v>
      </c>
      <c r="B33" s="42"/>
      <c r="C33" s="43" t="s">
        <v>85</v>
      </c>
      <c r="D33" s="44"/>
      <c r="E33" s="44"/>
      <c r="F33" s="44"/>
      <c r="G33" s="44"/>
      <c r="H33" s="44"/>
      <c r="I33" s="44"/>
      <c r="J33" s="44"/>
      <c r="K33" s="44"/>
      <c r="L33" s="44"/>
    </row>
    <row r="34" spans="1:12" s="45" customFormat="1" ht="12.75" customHeight="1">
      <c r="A34" s="41"/>
      <c r="B34" s="42"/>
      <c r="C34" s="43" t="s">
        <v>84</v>
      </c>
      <c r="D34" s="44"/>
      <c r="E34" s="44"/>
      <c r="F34" s="44"/>
      <c r="G34" s="44"/>
      <c r="H34" s="44"/>
      <c r="I34" s="44"/>
      <c r="J34" s="44"/>
      <c r="K34" s="44"/>
      <c r="L34" s="44"/>
    </row>
    <row r="35" spans="1:12" s="45" customFormat="1" ht="5.25" customHeight="1">
      <c r="A35" s="41"/>
      <c r="B35" s="42"/>
      <c r="C35" s="43"/>
      <c r="D35" s="44"/>
      <c r="E35" s="44"/>
      <c r="F35" s="44"/>
      <c r="G35" s="44"/>
      <c r="H35" s="44"/>
      <c r="I35" s="44"/>
      <c r="J35" s="44"/>
      <c r="K35" s="44"/>
      <c r="L35" s="44"/>
    </row>
    <row r="36" spans="1:12" ht="12.75">
      <c r="A36" s="25" t="s">
        <v>22</v>
      </c>
      <c r="B36" s="26"/>
      <c r="C36" s="26" t="s">
        <v>23</v>
      </c>
      <c r="E36" s="26"/>
      <c r="F36" s="26"/>
      <c r="G36" s="26"/>
      <c r="H36" s="26"/>
      <c r="I36" s="26"/>
      <c r="J36" s="26"/>
      <c r="K36" s="26"/>
      <c r="L36" s="26"/>
    </row>
    <row r="37" spans="1:12" ht="6" customHeight="1">
      <c r="A37" s="25"/>
      <c r="B37" s="26"/>
      <c r="C37" s="26"/>
      <c r="E37" s="26"/>
      <c r="F37" s="26"/>
      <c r="G37" s="26"/>
      <c r="H37" s="26"/>
      <c r="I37" s="26"/>
      <c r="J37" s="26"/>
      <c r="K37" s="26"/>
      <c r="L37" s="26"/>
    </row>
    <row r="38" spans="1:12" s="45" customFormat="1" ht="12.75">
      <c r="A38" s="41" t="s">
        <v>24</v>
      </c>
      <c r="B38" s="42"/>
      <c r="C38" s="42" t="s">
        <v>52</v>
      </c>
      <c r="D38" s="46"/>
      <c r="E38" s="47"/>
      <c r="F38" s="42"/>
      <c r="G38" s="42"/>
      <c r="H38" s="42"/>
      <c r="I38" s="42"/>
      <c r="J38" s="42"/>
      <c r="K38" s="42"/>
      <c r="L38" s="42"/>
    </row>
    <row r="39" spans="1:12" s="45" customFormat="1" ht="12.75">
      <c r="A39" s="41"/>
      <c r="B39" s="42"/>
      <c r="C39" s="42" t="s">
        <v>53</v>
      </c>
      <c r="D39" s="46"/>
      <c r="E39" s="47"/>
      <c r="F39" s="42"/>
      <c r="G39" s="42"/>
      <c r="H39" s="42"/>
      <c r="I39" s="42"/>
      <c r="J39" s="42"/>
      <c r="K39" s="42"/>
      <c r="L39" s="42"/>
    </row>
    <row r="40" spans="1:12" ht="6" customHeight="1">
      <c r="A40" s="25"/>
      <c r="B40" s="26"/>
      <c r="C40" s="26"/>
      <c r="E40" s="27"/>
      <c r="F40" s="26"/>
      <c r="G40" s="26"/>
      <c r="H40" s="26"/>
      <c r="I40" s="26"/>
      <c r="J40" s="26"/>
      <c r="K40" s="26"/>
      <c r="L40" s="26"/>
    </row>
    <row r="41" spans="1:12" ht="12.75">
      <c r="A41" s="25" t="s">
        <v>27</v>
      </c>
      <c r="B41" s="26"/>
      <c r="C41" s="26" t="s">
        <v>28</v>
      </c>
      <c r="E41" s="27"/>
      <c r="F41" s="26"/>
      <c r="G41" s="26"/>
      <c r="H41" s="26"/>
      <c r="I41" s="26"/>
      <c r="J41" s="26"/>
      <c r="K41" s="26"/>
      <c r="L41" s="26"/>
    </row>
    <row r="42" spans="1:12" ht="6" customHeight="1">
      <c r="A42" s="25"/>
      <c r="B42" s="26"/>
      <c r="C42" s="26"/>
      <c r="E42" s="27"/>
      <c r="F42" s="26"/>
      <c r="G42" s="26"/>
      <c r="H42" s="26"/>
      <c r="I42" s="26"/>
      <c r="J42" s="26"/>
      <c r="K42" s="26"/>
      <c r="L42" s="26"/>
    </row>
    <row r="43" spans="1:12" s="45" customFormat="1" ht="12.75">
      <c r="A43" s="41" t="s">
        <v>65</v>
      </c>
      <c r="B43" s="42"/>
      <c r="C43" s="42" t="s">
        <v>68</v>
      </c>
      <c r="D43" s="46"/>
      <c r="E43" s="47"/>
      <c r="F43" s="42"/>
      <c r="G43" s="42"/>
      <c r="H43" s="42"/>
      <c r="I43" s="42"/>
      <c r="J43" s="42"/>
      <c r="K43" s="42"/>
      <c r="L43" s="42"/>
    </row>
    <row r="44" spans="1:12" s="45" customFormat="1" ht="12.75">
      <c r="A44" s="41"/>
      <c r="B44" s="42"/>
      <c r="C44" s="42" t="s">
        <v>75</v>
      </c>
      <c r="D44" s="46"/>
      <c r="E44" s="47"/>
      <c r="F44" s="42"/>
      <c r="G44" s="42"/>
      <c r="H44" s="42"/>
      <c r="I44" s="42"/>
      <c r="J44" s="42"/>
      <c r="K44" s="42"/>
      <c r="L44" s="42"/>
    </row>
    <row r="45" spans="1:12" s="45" customFormat="1" ht="12.75">
      <c r="A45" s="41"/>
      <c r="B45" s="42"/>
      <c r="C45" s="42" t="s">
        <v>76</v>
      </c>
      <c r="D45" s="46"/>
      <c r="E45" s="47"/>
      <c r="F45" s="42"/>
      <c r="G45" s="42"/>
      <c r="H45" s="42"/>
      <c r="I45" s="42"/>
      <c r="J45" s="42"/>
      <c r="K45" s="42"/>
      <c r="L45" s="42"/>
    </row>
    <row r="46" spans="1:12" s="45" customFormat="1" ht="5.25" customHeight="1">
      <c r="A46" s="41"/>
      <c r="B46" s="42"/>
      <c r="C46" s="42"/>
      <c r="D46" s="46"/>
      <c r="E46" s="47"/>
      <c r="F46" s="42"/>
      <c r="G46" s="42"/>
      <c r="H46" s="42"/>
      <c r="I46" s="42"/>
      <c r="J46" s="42"/>
      <c r="K46" s="42"/>
      <c r="L46" s="42"/>
    </row>
    <row r="47" spans="1:12" s="45" customFormat="1" ht="12.75">
      <c r="A47" s="41" t="s">
        <v>29</v>
      </c>
      <c r="B47" s="42"/>
      <c r="C47" s="42" t="s">
        <v>66</v>
      </c>
      <c r="D47" s="46"/>
      <c r="E47" s="47"/>
      <c r="F47" s="42"/>
      <c r="G47" s="42"/>
      <c r="H47" s="42"/>
      <c r="I47" s="42"/>
      <c r="J47" s="42"/>
      <c r="K47" s="42"/>
      <c r="L47" s="42"/>
    </row>
    <row r="48" spans="1:12" s="45" customFormat="1" ht="12.75">
      <c r="A48" s="41"/>
      <c r="B48" s="42"/>
      <c r="C48" s="42" t="s">
        <v>67</v>
      </c>
      <c r="D48" s="46"/>
      <c r="E48" s="47"/>
      <c r="F48" s="42"/>
      <c r="G48" s="42"/>
      <c r="H48" s="42"/>
      <c r="I48" s="42"/>
      <c r="J48" s="42"/>
      <c r="K48" s="42"/>
      <c r="L48" s="42"/>
    </row>
    <row r="49" spans="1:12" ht="6" customHeight="1">
      <c r="A49" s="25"/>
      <c r="B49" s="26"/>
      <c r="C49" s="26"/>
      <c r="E49" s="27"/>
      <c r="F49" s="26"/>
      <c r="G49" s="26"/>
      <c r="H49" s="26"/>
      <c r="I49" s="26"/>
      <c r="J49" s="26"/>
      <c r="K49" s="26"/>
      <c r="L49" s="26"/>
    </row>
    <row r="50" spans="1:12" s="45" customFormat="1" ht="12.75">
      <c r="A50" s="41" t="s">
        <v>69</v>
      </c>
      <c r="B50" s="42"/>
      <c r="C50" s="42" t="s">
        <v>70</v>
      </c>
      <c r="D50" s="46"/>
      <c r="E50" s="47"/>
      <c r="F50" s="42"/>
      <c r="G50" s="42"/>
      <c r="H50" s="42"/>
      <c r="I50" s="42"/>
      <c r="J50" s="42"/>
      <c r="K50" s="42"/>
      <c r="L50" s="42"/>
    </row>
    <row r="51" spans="1:12" s="45" customFormat="1" ht="12.75">
      <c r="A51" s="48"/>
      <c r="B51" s="42"/>
      <c r="C51" s="42" t="s">
        <v>71</v>
      </c>
      <c r="D51" s="46"/>
      <c r="E51" s="47"/>
      <c r="F51" s="42"/>
      <c r="G51" s="42"/>
      <c r="H51" s="42"/>
      <c r="I51" s="42"/>
      <c r="J51" s="42"/>
      <c r="K51" s="42"/>
      <c r="L51" s="42"/>
    </row>
    <row r="52" spans="1:12" ht="6" customHeight="1">
      <c r="A52" s="28"/>
      <c r="B52" s="26"/>
      <c r="C52" s="26"/>
      <c r="E52" s="27"/>
      <c r="F52" s="26"/>
      <c r="G52" s="26"/>
      <c r="H52" s="26"/>
      <c r="I52" s="26"/>
      <c r="J52" s="26"/>
      <c r="K52" s="26"/>
      <c r="L52" s="26"/>
    </row>
    <row r="53" spans="1:12" s="45" customFormat="1" ht="12.75">
      <c r="A53" s="41" t="s">
        <v>44</v>
      </c>
      <c r="B53" s="42"/>
      <c r="C53" s="42" t="s">
        <v>54</v>
      </c>
      <c r="D53" s="46"/>
      <c r="E53" s="47"/>
      <c r="F53" s="42"/>
      <c r="G53" s="42"/>
      <c r="H53" s="42"/>
      <c r="I53" s="42"/>
      <c r="J53" s="42"/>
      <c r="K53" s="42"/>
      <c r="L53" s="46"/>
    </row>
    <row r="54" spans="1:12" s="45" customFormat="1" ht="12.75">
      <c r="A54" s="48"/>
      <c r="B54" s="42"/>
      <c r="C54" s="42" t="s">
        <v>55</v>
      </c>
      <c r="D54" s="46"/>
      <c r="E54" s="47"/>
      <c r="F54" s="42"/>
      <c r="G54" s="42"/>
      <c r="H54" s="42"/>
      <c r="I54" s="42"/>
      <c r="J54" s="42"/>
      <c r="K54" s="42"/>
      <c r="L54" s="46"/>
    </row>
    <row r="55" spans="1:12" s="45" customFormat="1" ht="12.75">
      <c r="A55" s="48"/>
      <c r="B55" s="42"/>
      <c r="C55" s="42" t="s">
        <v>56</v>
      </c>
      <c r="D55" s="46"/>
      <c r="E55" s="47"/>
      <c r="F55" s="42"/>
      <c r="G55" s="42"/>
      <c r="H55" s="42"/>
      <c r="I55" s="42"/>
      <c r="J55" s="42"/>
      <c r="K55" s="42"/>
      <c r="L55" s="46"/>
    </row>
    <row r="56" spans="1:12" ht="12.75">
      <c r="A56" s="29"/>
      <c r="B56" s="30"/>
      <c r="C56" s="26"/>
      <c r="D56" s="30"/>
      <c r="E56" s="31"/>
      <c r="F56" s="30"/>
      <c r="G56" s="30"/>
      <c r="H56" s="30"/>
      <c r="I56" s="30"/>
      <c r="J56" s="30"/>
      <c r="K56" s="30"/>
      <c r="L56" s="30"/>
    </row>
    <row r="57" spans="1:12" s="23" customFormat="1" ht="12.75">
      <c r="A57" s="64" t="s">
        <v>30</v>
      </c>
      <c r="B57" s="65"/>
      <c r="C57" s="65"/>
      <c r="D57" s="65"/>
      <c r="E57" s="65"/>
      <c r="F57" s="65"/>
      <c r="G57" s="65"/>
      <c r="H57" s="65"/>
      <c r="I57" s="65"/>
      <c r="J57" s="65"/>
      <c r="K57" s="65"/>
      <c r="L57" s="66"/>
    </row>
    <row r="58" ht="12.75">
      <c r="A58" s="24"/>
    </row>
    <row r="59" spans="1:12" ht="13.5">
      <c r="A59" s="32"/>
      <c r="F59" s="10" t="s">
        <v>8</v>
      </c>
      <c r="G59" s="33"/>
      <c r="H59" s="10" t="s">
        <v>72</v>
      </c>
      <c r="I59" s="10" t="s">
        <v>9</v>
      </c>
      <c r="J59" s="53" t="s">
        <v>73</v>
      </c>
      <c r="K59" s="10" t="s">
        <v>42</v>
      </c>
      <c r="L59" s="34"/>
    </row>
    <row r="60" spans="1:12" ht="12.75">
      <c r="A60" s="35"/>
      <c r="F60" s="8" t="s">
        <v>16</v>
      </c>
      <c r="G60" s="36"/>
      <c r="H60" s="8" t="s">
        <v>17</v>
      </c>
      <c r="I60" s="8" t="s">
        <v>18</v>
      </c>
      <c r="J60" s="54" t="s">
        <v>74</v>
      </c>
      <c r="K60" s="8" t="s">
        <v>43</v>
      </c>
      <c r="L60" s="34"/>
    </row>
    <row r="61" spans="2:12" ht="12.75">
      <c r="B61" s="37" t="s">
        <v>31</v>
      </c>
      <c r="C61" s="37"/>
      <c r="D61" s="26"/>
      <c r="E61" s="27"/>
      <c r="F61" s="38">
        <v>0.36</v>
      </c>
      <c r="G61" s="26"/>
      <c r="H61" s="38">
        <v>0.4</v>
      </c>
      <c r="I61" s="38">
        <v>0.1</v>
      </c>
      <c r="J61" s="38">
        <v>0.1</v>
      </c>
      <c r="K61" s="38">
        <v>0.04</v>
      </c>
      <c r="L61" s="39"/>
    </row>
    <row r="62" spans="2:12" ht="12.75">
      <c r="B62" s="37" t="s">
        <v>46</v>
      </c>
      <c r="C62" s="37"/>
      <c r="D62" s="26"/>
      <c r="E62" s="27"/>
      <c r="F62" s="38">
        <v>0.47</v>
      </c>
      <c r="G62" s="26"/>
      <c r="H62" s="38">
        <v>0.29</v>
      </c>
      <c r="I62" s="38">
        <v>0.1</v>
      </c>
      <c r="J62" s="38">
        <v>0.1</v>
      </c>
      <c r="K62" s="38">
        <v>0.04</v>
      </c>
      <c r="L62" s="39"/>
    </row>
    <row r="63" spans="2:12" ht="12.75">
      <c r="B63" s="37" t="s">
        <v>47</v>
      </c>
      <c r="C63" s="37"/>
      <c r="D63" s="26"/>
      <c r="E63" s="27"/>
      <c r="F63" s="38">
        <v>0.51</v>
      </c>
      <c r="G63" s="26"/>
      <c r="H63" s="38">
        <v>0.29</v>
      </c>
      <c r="I63" s="38">
        <v>0.1</v>
      </c>
      <c r="J63" s="38">
        <v>0.1</v>
      </c>
      <c r="K63" s="38">
        <v>0</v>
      </c>
      <c r="L63" s="39"/>
    </row>
    <row r="64" spans="2:12" ht="12.75">
      <c r="B64" s="37" t="s">
        <v>33</v>
      </c>
      <c r="C64" s="37"/>
      <c r="D64" s="26"/>
      <c r="E64" s="27"/>
      <c r="F64" s="38">
        <v>0.53</v>
      </c>
      <c r="G64" s="26"/>
      <c r="H64" s="38">
        <v>0.29</v>
      </c>
      <c r="I64" s="38">
        <v>0.08</v>
      </c>
      <c r="J64" s="38">
        <v>0.1</v>
      </c>
      <c r="K64" s="38">
        <v>0</v>
      </c>
      <c r="L64" s="39"/>
    </row>
    <row r="65" spans="2:12" ht="12.75">
      <c r="B65" s="37" t="s">
        <v>34</v>
      </c>
      <c r="C65" s="37"/>
      <c r="D65" s="26"/>
      <c r="E65" s="27"/>
      <c r="F65" s="38">
        <v>0.56</v>
      </c>
      <c r="G65" s="26"/>
      <c r="H65" s="38">
        <v>0.26</v>
      </c>
      <c r="I65" s="38">
        <v>0.08</v>
      </c>
      <c r="J65" s="38">
        <v>0.1</v>
      </c>
      <c r="K65" s="38">
        <v>0</v>
      </c>
      <c r="L65" s="39"/>
    </row>
    <row r="66" ht="12.75">
      <c r="A66" s="24"/>
    </row>
    <row r="67" spans="1:12" s="23" customFormat="1" ht="12.75">
      <c r="A67" s="68" t="s">
        <v>37</v>
      </c>
      <c r="B67" s="69"/>
      <c r="C67" s="69"/>
      <c r="D67" s="69"/>
      <c r="E67" s="69"/>
      <c r="F67" s="69"/>
      <c r="G67" s="69"/>
      <c r="H67" s="69"/>
      <c r="I67" s="69"/>
      <c r="J67" s="69"/>
      <c r="K67" s="69"/>
      <c r="L67" s="70"/>
    </row>
    <row r="68" spans="1:5" ht="12.75">
      <c r="A68" s="24"/>
      <c r="D68"/>
      <c r="E68" s="16"/>
    </row>
    <row r="69" spans="1:12" ht="51.75" customHeight="1">
      <c r="A69" s="72" t="s">
        <v>45</v>
      </c>
      <c r="B69" s="72"/>
      <c r="C69" s="72"/>
      <c r="D69" s="72"/>
      <c r="E69" s="72"/>
      <c r="F69" s="72"/>
      <c r="G69" s="72"/>
      <c r="H69" s="72"/>
      <c r="I69" s="72"/>
      <c r="J69" s="72"/>
      <c r="K69" s="72"/>
      <c r="L69" s="72"/>
    </row>
    <row r="70" spans="1:5" ht="12.75">
      <c r="A70" s="16"/>
      <c r="D70"/>
      <c r="E70" s="16"/>
    </row>
    <row r="71" spans="2:4" ht="12.75">
      <c r="B71" s="24" t="s">
        <v>38</v>
      </c>
      <c r="C71" s="24"/>
      <c r="D71" s="16">
        <v>229779</v>
      </c>
    </row>
    <row r="72" spans="2:4" ht="12.75">
      <c r="B72" s="24" t="s">
        <v>39</v>
      </c>
      <c r="C72" s="24"/>
      <c r="D72" s="16">
        <v>407153</v>
      </c>
    </row>
    <row r="73" spans="2:4" ht="12.75">
      <c r="B73" s="16" t="s">
        <v>35</v>
      </c>
      <c r="D73" s="16" t="s">
        <v>35</v>
      </c>
    </row>
    <row r="74" ht="12.75">
      <c r="D74" s="16" t="s">
        <v>35</v>
      </c>
    </row>
    <row r="75" ht="12.75">
      <c r="A75" s="24" t="s">
        <v>36</v>
      </c>
    </row>
  </sheetData>
  <sheetProtection/>
  <mergeCells count="11">
    <mergeCell ref="A69:L69"/>
    <mergeCell ref="A31:L31"/>
    <mergeCell ref="A57:L57"/>
    <mergeCell ref="H10:L10"/>
    <mergeCell ref="A8:L8"/>
    <mergeCell ref="A1:L1"/>
    <mergeCell ref="A4:L4"/>
    <mergeCell ref="A3:L3"/>
    <mergeCell ref="A2:L2"/>
    <mergeCell ref="A5:L5"/>
    <mergeCell ref="A67:L67"/>
  </mergeCells>
  <hyperlinks>
    <hyperlink ref="A4" r:id="rId1" display="www.tiogadowns.com"/>
  </hyperlinks>
  <printOptions horizontalCentered="1"/>
  <pageMargins left="0.25" right="0.25" top="0.75" bottom="0.5" header="0.5" footer="0.5"/>
  <pageSetup fitToHeight="1" fitToWidth="1" horizontalDpi="600" verticalDpi="600" orientation="portrait"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Lottery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Roddy</dc:creator>
  <cp:keywords/>
  <dc:description/>
  <cp:lastModifiedBy>Bob Willi</cp:lastModifiedBy>
  <cp:lastPrinted>2016-05-02T19:41:10Z</cp:lastPrinted>
  <dcterms:created xsi:type="dcterms:W3CDTF">2007-10-10T21:21:20Z</dcterms:created>
  <dcterms:modified xsi:type="dcterms:W3CDTF">2017-03-10T19:40:31Z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